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240" windowWidth="15195" windowHeight="7845"/>
  </bookViews>
  <sheets>
    <sheet name="Compression Analysis" sheetId="1" r:id="rId1"/>
    <sheet name="Wiseco Subaru Data" sheetId="4" r:id="rId2"/>
    <sheet name="Graph Data" sheetId="2" r:id="rId3"/>
    <sheet name="Piston Acc_Velocity Graph" sheetId="3" r:id="rId4"/>
  </sheets>
  <calcPr calcId="145621"/>
</workbook>
</file>

<file path=xl/calcChain.xml><?xml version="1.0" encoding="utf-8"?>
<calcChain xmlns="http://schemas.openxmlformats.org/spreadsheetml/2006/main">
  <c r="X13" i="1" l="1"/>
  <c r="X27" i="1" l="1"/>
  <c r="U27" i="1"/>
  <c r="S27" i="1"/>
  <c r="P27" i="1"/>
  <c r="N27" i="1"/>
  <c r="O27" i="1" s="1"/>
  <c r="N13" i="1" l="1"/>
  <c r="O13" i="1" s="1"/>
  <c r="S13" i="1"/>
  <c r="K17" i="1"/>
  <c r="U17" i="1"/>
  <c r="S17" i="1"/>
  <c r="U13" i="1"/>
  <c r="P8" i="1"/>
  <c r="E24" i="1"/>
  <c r="K10" i="1" s="1"/>
  <c r="X10" i="1"/>
  <c r="U10" i="1"/>
  <c r="S10" i="1"/>
  <c r="P10" i="1"/>
  <c r="N10" i="1"/>
  <c r="O10" i="1" s="1"/>
  <c r="U32" i="1"/>
  <c r="S32" i="1"/>
  <c r="P32" i="1"/>
  <c r="N32" i="1"/>
  <c r="O32" i="1"/>
  <c r="K32" i="1"/>
  <c r="E22" i="1"/>
  <c r="K13" i="1" s="1"/>
  <c r="P13" i="1"/>
  <c r="P12" i="1"/>
  <c r="P14" i="1"/>
  <c r="P15" i="1"/>
  <c r="P16" i="1"/>
  <c r="P19" i="1"/>
  <c r="P20" i="1"/>
  <c r="P21" i="1"/>
  <c r="P22" i="1"/>
  <c r="D14" i="1"/>
  <c r="X20" i="1"/>
  <c r="N20" i="1" s="1"/>
  <c r="O20" i="1" s="1"/>
  <c r="U20" i="1"/>
  <c r="S20" i="1"/>
  <c r="E23" i="1"/>
  <c r="K23" i="1" s="1"/>
  <c r="K22" i="1"/>
  <c r="X19" i="1"/>
  <c r="N19" i="1" s="1"/>
  <c r="O19" i="1" s="1"/>
  <c r="U19" i="1"/>
  <c r="S19" i="1"/>
  <c r="X16" i="1"/>
  <c r="N16" i="1" s="1"/>
  <c r="O16" i="1" s="1"/>
  <c r="S22" i="1"/>
  <c r="X22" i="1"/>
  <c r="N22" i="1" s="1"/>
  <c r="O22" i="1" s="1"/>
  <c r="U22" i="1"/>
  <c r="X21" i="1"/>
  <c r="N21" i="1" s="1"/>
  <c r="O21" i="1" s="1"/>
  <c r="S21" i="1"/>
  <c r="U21" i="1"/>
  <c r="K16" i="1"/>
  <c r="U16" i="1"/>
  <c r="S16" i="1"/>
  <c r="X6" i="1"/>
  <c r="N6" i="1" s="1"/>
  <c r="O6" i="1" s="1"/>
  <c r="U6" i="1"/>
  <c r="S6" i="1"/>
  <c r="K6" i="1"/>
  <c r="B5" i="1"/>
  <c r="B8" i="1" s="1"/>
  <c r="X31" i="1"/>
  <c r="N31" i="1" s="1"/>
  <c r="O31" i="1" s="1"/>
  <c r="U31" i="1"/>
  <c r="S31" i="1"/>
  <c r="P31" i="1"/>
  <c r="X30" i="1"/>
  <c r="N30" i="1" s="1"/>
  <c r="O30" i="1" s="1"/>
  <c r="U30" i="1"/>
  <c r="S30" i="1"/>
  <c r="P30" i="1"/>
  <c r="E21" i="1"/>
  <c r="I26" i="1" s="1"/>
  <c r="K26" i="1" s="1"/>
  <c r="X25" i="1"/>
  <c r="N25" i="1" s="1"/>
  <c r="O25" i="1" s="1"/>
  <c r="P25" i="1"/>
  <c r="S25" i="1"/>
  <c r="U25" i="1"/>
  <c r="B27" i="1"/>
  <c r="C2" i="2" s="1"/>
  <c r="B6" i="1"/>
  <c r="C3" i="2" s="1"/>
  <c r="C4" i="2" s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8" i="2"/>
  <c r="X34" i="1"/>
  <c r="N34" i="1" s="1"/>
  <c r="O34" i="1" s="1"/>
  <c r="X18" i="1"/>
  <c r="N18" i="1" s="1"/>
  <c r="O18" i="1" s="1"/>
  <c r="U18" i="1"/>
  <c r="S18" i="1"/>
  <c r="X5" i="1"/>
  <c r="N5" i="1"/>
  <c r="O5" i="1" s="1"/>
  <c r="X33" i="1"/>
  <c r="N33" i="1" s="1"/>
  <c r="O33" i="1" s="1"/>
  <c r="X24" i="1"/>
  <c r="N24" i="1" s="1"/>
  <c r="O24" i="1" s="1"/>
  <c r="X29" i="1"/>
  <c r="N29" i="1" s="1"/>
  <c r="O29" i="1" s="1"/>
  <c r="X28" i="1"/>
  <c r="N28" i="1" s="1"/>
  <c r="O28" i="1" s="1"/>
  <c r="X23" i="1"/>
  <c r="N23" i="1"/>
  <c r="O23" i="1" s="1"/>
  <c r="X15" i="1"/>
  <c r="N15" i="1" s="1"/>
  <c r="O15" i="1" s="1"/>
  <c r="X14" i="1"/>
  <c r="N14" i="1" s="1"/>
  <c r="O14" i="1" s="1"/>
  <c r="X12" i="1"/>
  <c r="N12" i="1" s="1"/>
  <c r="O12" i="1" s="1"/>
  <c r="X11" i="1"/>
  <c r="N11" i="1" s="1"/>
  <c r="O11" i="1" s="1"/>
  <c r="X9" i="1"/>
  <c r="N9" i="1" s="1"/>
  <c r="O9" i="1" s="1"/>
  <c r="X8" i="1"/>
  <c r="N8" i="1" s="1"/>
  <c r="O8" i="1" s="1"/>
  <c r="X7" i="1"/>
  <c r="N7" i="1" s="1"/>
  <c r="O7" i="1" s="1"/>
  <c r="X26" i="1"/>
  <c r="N26" i="1" s="1"/>
  <c r="O26" i="1" s="1"/>
  <c r="S9" i="1"/>
  <c r="U9" i="1"/>
  <c r="U33" i="1"/>
  <c r="S33" i="1"/>
  <c r="P33" i="1"/>
  <c r="P23" i="1"/>
  <c r="P28" i="1"/>
  <c r="P29" i="1"/>
  <c r="P24" i="1"/>
  <c r="P26" i="1"/>
  <c r="P34" i="1"/>
  <c r="B7" i="1" s="1"/>
  <c r="D7" i="1" s="1"/>
  <c r="U34" i="1"/>
  <c r="S29" i="1"/>
  <c r="S24" i="1"/>
  <c r="S26" i="1"/>
  <c r="S28" i="1"/>
  <c r="U28" i="1"/>
  <c r="U29" i="1"/>
  <c r="U24" i="1"/>
  <c r="U26" i="1"/>
  <c r="S34" i="1"/>
  <c r="U7" i="1"/>
  <c r="U8" i="1"/>
  <c r="U11" i="1"/>
  <c r="U12" i="1"/>
  <c r="U14" i="1"/>
  <c r="U15" i="1"/>
  <c r="U23" i="1"/>
  <c r="U5" i="1"/>
  <c r="S7" i="1"/>
  <c r="S8" i="1"/>
  <c r="S11" i="1"/>
  <c r="S12" i="1"/>
  <c r="S14" i="1"/>
  <c r="S15" i="1"/>
  <c r="S23" i="1"/>
  <c r="S5" i="1"/>
  <c r="K11" i="1"/>
  <c r="K5" i="1"/>
  <c r="B37" i="1"/>
  <c r="C5" i="2"/>
  <c r="F5" i="2" s="1"/>
  <c r="P18" i="1"/>
  <c r="P11" i="1"/>
  <c r="P9" i="1"/>
  <c r="K19" i="1" l="1"/>
  <c r="K21" i="1"/>
  <c r="I25" i="1"/>
  <c r="K25" i="1" s="1"/>
  <c r="B9" i="1"/>
  <c r="C9" i="1" s="1"/>
  <c r="K33" i="1"/>
  <c r="I30" i="1"/>
  <c r="K30" i="1" s="1"/>
  <c r="I24" i="1"/>
  <c r="K24" i="1" s="1"/>
  <c r="K27" i="1"/>
  <c r="I12" i="1"/>
  <c r="K12" i="1" s="1"/>
  <c r="J35" i="1"/>
  <c r="K34" i="1" s="1"/>
  <c r="B10" i="1" s="1"/>
  <c r="D10" i="1" s="1"/>
  <c r="K14" i="1"/>
  <c r="K9" i="1"/>
  <c r="K8" i="1"/>
  <c r="I29" i="1"/>
  <c r="K29" i="1" s="1"/>
  <c r="I7" i="1"/>
  <c r="K7" i="1" s="1"/>
  <c r="K31" i="1"/>
  <c r="K20" i="1"/>
  <c r="K28" i="1"/>
  <c r="K15" i="1"/>
  <c r="K18" i="1"/>
  <c r="D5" i="1"/>
  <c r="D27" i="1"/>
  <c r="B30" i="1"/>
  <c r="D6" i="1"/>
  <c r="B31" i="1" s="1"/>
  <c r="C7" i="1"/>
  <c r="D8" i="1"/>
  <c r="B12" i="1"/>
  <c r="B13" i="1" s="1"/>
  <c r="B28" i="1"/>
  <c r="D26" i="2"/>
  <c r="C9" i="2"/>
  <c r="E9" i="2" s="1"/>
  <c r="C11" i="2"/>
  <c r="E11" i="2" s="1"/>
  <c r="C15" i="2"/>
  <c r="E15" i="2" s="1"/>
  <c r="C23" i="2"/>
  <c r="E23" i="2" s="1"/>
  <c r="C27" i="2"/>
  <c r="E27" i="2" s="1"/>
  <c r="F27" i="2" s="1"/>
  <c r="C34" i="2"/>
  <c r="E34" i="2" s="1"/>
  <c r="D39" i="2"/>
  <c r="D28" i="2"/>
  <c r="D34" i="2"/>
  <c r="D10" i="2"/>
  <c r="C42" i="2"/>
  <c r="E42" i="2" s="1"/>
  <c r="D25" i="2"/>
  <c r="D24" i="2"/>
  <c r="D31" i="2"/>
  <c r="C17" i="2"/>
  <c r="E17" i="2" s="1"/>
  <c r="F17" i="2" s="1"/>
  <c r="C21" i="2"/>
  <c r="E21" i="2" s="1"/>
  <c r="C29" i="2"/>
  <c r="E29" i="2" s="1"/>
  <c r="F29" i="2" s="1"/>
  <c r="D16" i="2"/>
  <c r="D44" i="2"/>
  <c r="D29" i="2"/>
  <c r="D43" i="2"/>
  <c r="D11" i="2"/>
  <c r="D38" i="2"/>
  <c r="C40" i="2"/>
  <c r="E40" i="2" s="1"/>
  <c r="D9" i="2"/>
  <c r="D15" i="2"/>
  <c r="C39" i="2"/>
  <c r="E39" i="2" s="1"/>
  <c r="D17" i="2"/>
  <c r="D32" i="2"/>
  <c r="D14" i="2"/>
  <c r="C38" i="2"/>
  <c r="E38" i="2" s="1"/>
  <c r="C33" i="2"/>
  <c r="E33" i="2" s="1"/>
  <c r="D21" i="2"/>
  <c r="D19" i="2"/>
  <c r="D22" i="2"/>
  <c r="C18" i="2"/>
  <c r="E18" i="2" s="1"/>
  <c r="F18" i="2" s="1"/>
  <c r="D37" i="2"/>
  <c r="C41" i="2"/>
  <c r="E41" i="2" s="1"/>
  <c r="C35" i="2"/>
  <c r="E35" i="2" s="1"/>
  <c r="C43" i="2"/>
  <c r="E43" i="2" s="1"/>
  <c r="C32" i="2"/>
  <c r="E32" i="2" s="1"/>
  <c r="C10" i="2"/>
  <c r="E10" i="2" s="1"/>
  <c r="C16" i="2"/>
  <c r="E16" i="2" s="1"/>
  <c r="F16" i="2" s="1"/>
  <c r="C28" i="2"/>
  <c r="E28" i="2" s="1"/>
  <c r="D20" i="2"/>
  <c r="C31" i="2"/>
  <c r="E31" i="2" s="1"/>
  <c r="C20" i="2"/>
  <c r="E20" i="2" s="1"/>
  <c r="F20" i="2" s="1"/>
  <c r="D8" i="2"/>
  <c r="C19" i="2"/>
  <c r="E19" i="2" s="1"/>
  <c r="D41" i="2"/>
  <c r="C36" i="2"/>
  <c r="E36" i="2" s="1"/>
  <c r="C44" i="2"/>
  <c r="E44" i="2" s="1"/>
  <c r="C30" i="2"/>
  <c r="E30" i="2" s="1"/>
  <c r="D12" i="2"/>
  <c r="D42" i="2"/>
  <c r="C22" i="2"/>
  <c r="E22" i="2" s="1"/>
  <c r="D30" i="2"/>
  <c r="D33" i="2"/>
  <c r="D23" i="2"/>
  <c r="C37" i="2"/>
  <c r="E37" i="2" s="1"/>
  <c r="C8" i="2"/>
  <c r="E8" i="2" s="1"/>
  <c r="F8" i="2" s="1"/>
  <c r="D13" i="2"/>
  <c r="C12" i="2"/>
  <c r="E12" i="2" s="1"/>
  <c r="C24" i="2"/>
  <c r="E24" i="2" s="1"/>
  <c r="D35" i="2"/>
  <c r="D27" i="2"/>
  <c r="D18" i="2"/>
  <c r="C13" i="2"/>
  <c r="E13" i="2" s="1"/>
  <c r="C25" i="2"/>
  <c r="E25" i="2" s="1"/>
  <c r="D40" i="2"/>
  <c r="C14" i="2"/>
  <c r="E14" i="2" s="1"/>
  <c r="C26" i="2"/>
  <c r="E26" i="2" s="1"/>
  <c r="D36" i="2"/>
  <c r="D9" i="1" l="1"/>
  <c r="B17" i="1"/>
  <c r="B18" i="1" s="1"/>
  <c r="G16" i="2"/>
  <c r="H16" i="2" s="1"/>
  <c r="G20" i="2"/>
  <c r="H20" i="2" s="1"/>
  <c r="G17" i="2"/>
  <c r="H17" i="2" s="1"/>
  <c r="G18" i="2"/>
  <c r="H18" i="2" s="1"/>
  <c r="B11" i="1"/>
  <c r="G29" i="2"/>
  <c r="H29" i="2" s="1"/>
  <c r="G27" i="2"/>
  <c r="H27" i="2" s="1"/>
  <c r="D12" i="1"/>
  <c r="D13" i="1" s="1"/>
  <c r="G8" i="2"/>
  <c r="H8" i="2" s="1"/>
  <c r="G14" i="2"/>
  <c r="H14" i="2" s="1"/>
  <c r="F14" i="2"/>
  <c r="G25" i="2"/>
  <c r="H25" i="2" s="1"/>
  <c r="F25" i="2"/>
  <c r="G12" i="2"/>
  <c r="H12" i="2" s="1"/>
  <c r="F12" i="2"/>
  <c r="G30" i="2"/>
  <c r="H30" i="2" s="1"/>
  <c r="F30" i="2"/>
  <c r="G36" i="2"/>
  <c r="H36" i="2" s="1"/>
  <c r="F36" i="2"/>
  <c r="F19" i="2"/>
  <c r="G19" i="2"/>
  <c r="H19" i="2" s="1"/>
  <c r="G32" i="2"/>
  <c r="H32" i="2" s="1"/>
  <c r="F32" i="2"/>
  <c r="G35" i="2"/>
  <c r="H35" i="2" s="1"/>
  <c r="F35" i="2"/>
  <c r="G38" i="2"/>
  <c r="H38" i="2" s="1"/>
  <c r="F38" i="2"/>
  <c r="F39" i="2"/>
  <c r="G39" i="2"/>
  <c r="H39" i="2" s="1"/>
  <c r="F42" i="2"/>
  <c r="G42" i="2"/>
  <c r="H42" i="2" s="1"/>
  <c r="F15" i="2"/>
  <c r="G15" i="2"/>
  <c r="H15" i="2" s="1"/>
  <c r="F9" i="2"/>
  <c r="G9" i="2"/>
  <c r="H9" i="2" s="1"/>
  <c r="F26" i="2"/>
  <c r="G26" i="2"/>
  <c r="H26" i="2" s="1"/>
  <c r="F13" i="2"/>
  <c r="G13" i="2"/>
  <c r="H13" i="2" s="1"/>
  <c r="F24" i="2"/>
  <c r="G24" i="2"/>
  <c r="H24" i="2" s="1"/>
  <c r="F37" i="2"/>
  <c r="G37" i="2"/>
  <c r="H37" i="2" s="1"/>
  <c r="G22" i="2"/>
  <c r="H22" i="2" s="1"/>
  <c r="F22" i="2"/>
  <c r="F44" i="2"/>
  <c r="G44" i="2"/>
  <c r="H44" i="2" s="1"/>
  <c r="G31" i="2"/>
  <c r="H31" i="2" s="1"/>
  <c r="F31" i="2"/>
  <c r="F28" i="2"/>
  <c r="G28" i="2"/>
  <c r="H28" i="2" s="1"/>
  <c r="F10" i="2"/>
  <c r="G10" i="2"/>
  <c r="H10" i="2" s="1"/>
  <c r="F43" i="2"/>
  <c r="G43" i="2"/>
  <c r="H43" i="2" s="1"/>
  <c r="F41" i="2"/>
  <c r="G41" i="2"/>
  <c r="H41" i="2" s="1"/>
  <c r="G33" i="2"/>
  <c r="H33" i="2" s="1"/>
  <c r="F33" i="2"/>
  <c r="G40" i="2"/>
  <c r="H40" i="2" s="1"/>
  <c r="F40" i="2"/>
  <c r="F21" i="2"/>
  <c r="G21" i="2"/>
  <c r="H21" i="2" s="1"/>
  <c r="F34" i="2"/>
  <c r="G34" i="2"/>
  <c r="H34" i="2" s="1"/>
  <c r="G23" i="2"/>
  <c r="H23" i="2" s="1"/>
  <c r="F23" i="2"/>
  <c r="F11" i="2"/>
  <c r="G11" i="2"/>
  <c r="H11" i="2" s="1"/>
  <c r="I43" i="2" l="1"/>
  <c r="I31" i="2"/>
  <c r="I28" i="2"/>
  <c r="I19" i="2"/>
  <c r="I17" i="2"/>
  <c r="I13" i="2"/>
  <c r="I27" i="2"/>
  <c r="I23" i="2"/>
  <c r="I40" i="2"/>
  <c r="I33" i="2"/>
  <c r="I38" i="2"/>
  <c r="I35" i="2"/>
  <c r="I25" i="2"/>
  <c r="I20" i="2"/>
  <c r="I22" i="2"/>
  <c r="I32" i="2"/>
  <c r="I36" i="2"/>
  <c r="I30" i="2"/>
  <c r="I12" i="2"/>
  <c r="I14" i="2"/>
  <c r="I29" i="2"/>
  <c r="I11" i="2"/>
  <c r="I34" i="2"/>
  <c r="I21" i="2"/>
  <c r="I41" i="2"/>
  <c r="I10" i="2"/>
  <c r="I37" i="2"/>
  <c r="I24" i="2"/>
  <c r="I26" i="2"/>
  <c r="I9" i="2"/>
  <c r="I8" i="2"/>
  <c r="I44" i="2"/>
  <c r="I15" i="2"/>
  <c r="I42" i="2"/>
  <c r="I39" i="2"/>
  <c r="I16" i="2"/>
  <c r="I18" i="2"/>
  <c r="J18" i="2" l="1"/>
  <c r="J28" i="2"/>
  <c r="J24" i="2"/>
  <c r="J42" i="2"/>
  <c r="J34" i="2"/>
  <c r="J29" i="2"/>
  <c r="J39" i="2"/>
  <c r="J26" i="2"/>
  <c r="J33" i="2"/>
  <c r="J36" i="2"/>
  <c r="J21" i="2"/>
  <c r="J11" i="2"/>
  <c r="J14" i="2"/>
  <c r="J32" i="2"/>
  <c r="J19" i="2"/>
  <c r="J8" i="2"/>
  <c r="J9" i="2"/>
  <c r="J44" i="2"/>
  <c r="J43" i="2"/>
  <c r="J12" i="2"/>
  <c r="J35" i="2"/>
  <c r="J22" i="2"/>
  <c r="J23" i="2"/>
  <c r="J16" i="2"/>
  <c r="J17" i="2"/>
  <c r="J15" i="2"/>
  <c r="J37" i="2"/>
  <c r="J10" i="2"/>
  <c r="J41" i="2"/>
  <c r="J20" i="2"/>
  <c r="J27" i="2"/>
  <c r="J25" i="2"/>
  <c r="J30" i="2"/>
  <c r="J38" i="2"/>
  <c r="J31" i="2"/>
  <c r="J40" i="2"/>
  <c r="J13" i="2"/>
</calcChain>
</file>

<file path=xl/comments1.xml><?xml version="1.0" encoding="utf-8"?>
<comments xmlns="http://schemas.openxmlformats.org/spreadsheetml/2006/main">
  <authors>
    <author>TPenner</author>
    <author>Tom</author>
  </authors>
  <commentList>
    <comment ref="B4" authorId="0">
      <text>
        <r>
          <rPr>
            <b/>
            <sz val="10"/>
            <color indexed="81"/>
            <rFont val="Tahoma"/>
            <family val="2"/>
          </rPr>
          <t>Enter the appropriate engine nunber from the yellow column on the left. For custom configuration, use #19 and enter your information in the light blue cells.</t>
        </r>
        <r>
          <rPr>
            <sz val="8"/>
            <color indexed="81"/>
            <rFont val="Tahoma"/>
          </rPr>
          <t xml:space="preserve">
</t>
        </r>
      </text>
    </comment>
    <comment ref="B9" authorId="0">
      <text>
        <r>
          <rPr>
            <b/>
            <sz val="10"/>
            <color indexed="81"/>
            <rFont val="Tahoma"/>
            <family val="2"/>
          </rPr>
          <t>Amount the piston protrudes from top of cylinder.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81"/>
            <rFont val="Tahoma"/>
            <family val="2"/>
          </rPr>
          <t>This is a calculated amount based on known measurements. Entries cannot be made here.</t>
        </r>
      </text>
    </comment>
    <comment ref="B11" authorId="0">
      <text>
        <r>
          <rPr>
            <b/>
            <sz val="10"/>
            <color indexed="81"/>
            <rFont val="Tahoma"/>
            <family val="2"/>
          </rPr>
          <t>Be sure to check the values entered for milling of deck and head.</t>
        </r>
        <r>
          <rPr>
            <sz val="8"/>
            <color indexed="81"/>
            <rFont val="Tahoma"/>
          </rPr>
          <t xml:space="preserve">
</t>
        </r>
      </text>
    </comment>
    <comment ref="A17" authorId="0">
      <text>
        <r>
          <rPr>
            <b/>
            <sz val="10"/>
            <color indexed="81"/>
            <rFont val="Tahoma"/>
            <family val="2"/>
          </rPr>
          <t>Distance from the piston crown and the head a TDC</t>
        </r>
        <r>
          <rPr>
            <sz val="8"/>
            <color indexed="81"/>
            <rFont val="Tahoma"/>
          </rPr>
          <t xml:space="preserve">
</t>
        </r>
      </text>
    </comment>
    <comment ref="H17" authorId="1">
      <text>
        <r>
          <rPr>
            <b/>
            <sz val="9"/>
            <color indexed="81"/>
            <rFont val="Tahoma"/>
            <charset val="1"/>
          </rPr>
          <t>Measurements supplied by Wiseco, NOT VERIFIED.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b/>
            <sz val="10"/>
            <color indexed="81"/>
            <rFont val="Tahoma"/>
            <family val="2"/>
          </rPr>
          <t>0.012" is considered service limit</t>
        </r>
        <r>
          <rPr>
            <sz val="8"/>
            <color indexed="81"/>
            <rFont val="Tahoma"/>
          </rPr>
          <t xml:space="preserve">
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Amount removed from top of the Block.</t>
        </r>
        <r>
          <rPr>
            <sz val="8"/>
            <color indexed="81"/>
            <rFont val="Tahoma"/>
          </rPr>
          <t xml:space="preserve">
</t>
        </r>
      </text>
    </comment>
    <comment ref="H23" authorId="0">
      <text>
        <r>
          <rPr>
            <b/>
            <sz val="10"/>
            <color indexed="81"/>
            <rFont val="Tahoma"/>
            <family val="2"/>
          </rPr>
          <t>Uses 98.0mm Bore with No Sleeving</t>
        </r>
        <r>
          <rPr>
            <sz val="8"/>
            <color indexed="81"/>
            <rFont val="Tahoma"/>
          </rPr>
          <t xml:space="preserve">
</t>
        </r>
      </text>
    </comment>
    <comment ref="H24" authorId="0">
      <text>
        <r>
          <rPr>
            <b/>
            <sz val="10"/>
            <color indexed="81"/>
            <rFont val="Tahoma"/>
            <family val="2"/>
          </rPr>
          <t>Must use STi/WRX length rods 130.5mm</t>
        </r>
        <r>
          <rPr>
            <sz val="8"/>
            <color indexed="81"/>
            <rFont val="Tahoma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</rPr>
          <t>Must use STi/WRX length rods 130.5mm</t>
        </r>
        <r>
          <rPr>
            <sz val="8"/>
            <color indexed="81"/>
            <rFont val="Tahoma"/>
          </rPr>
          <t xml:space="preserve">
</t>
        </r>
      </text>
    </comment>
    <comment ref="H26" authorId="0">
      <text>
        <r>
          <rPr>
            <b/>
            <sz val="10"/>
            <color indexed="81"/>
            <rFont val="Tahoma"/>
            <family val="2"/>
          </rPr>
          <t>Must use STi/WRX length rods 130.5mm</t>
        </r>
        <r>
          <rPr>
            <sz val="8"/>
            <color indexed="81"/>
            <rFont val="Tahoma"/>
          </rPr>
          <t xml:space="preserve">
</t>
        </r>
      </text>
    </comment>
    <comment ref="J28" authorId="0">
      <text>
        <r>
          <rPr>
            <b/>
            <sz val="10"/>
            <color indexed="81"/>
            <rFont val="Tahoma"/>
            <family val="2"/>
          </rPr>
          <t>Earlier TWE STi Pistons have a volume of 22.2 cc</t>
        </r>
        <r>
          <rPr>
            <sz val="8"/>
            <color indexed="81"/>
            <rFont val="Tahoma"/>
          </rPr>
          <t xml:space="preserve">
</t>
        </r>
      </text>
    </comment>
    <comment ref="D30" authorId="0">
      <text>
        <r>
          <rPr>
            <b/>
            <sz val="10"/>
            <color indexed="81"/>
            <rFont val="Tahoma"/>
            <family val="2"/>
          </rPr>
          <t>25m/s is generally regarded as max piston speed with race quality components.</t>
        </r>
        <r>
          <rPr>
            <sz val="8"/>
            <color indexed="81"/>
            <rFont val="Tahoma"/>
          </rPr>
          <t xml:space="preserve">
</t>
        </r>
      </text>
    </comment>
    <comment ref="D31" authorId="0">
      <text>
        <r>
          <rPr>
            <b/>
            <sz val="10"/>
            <color indexed="81"/>
            <rFont val="Tahoma"/>
            <family val="2"/>
          </rPr>
          <t>5000ft/s is generally regarded as max piston speed with race quality components.</t>
        </r>
        <r>
          <rPr>
            <sz val="8"/>
            <color indexed="81"/>
            <rFont val="Tahoma"/>
          </rPr>
          <t xml:space="preserve">
</t>
        </r>
      </text>
    </comment>
    <comment ref="H34" authorId="0">
      <text>
        <r>
          <rPr>
            <b/>
            <sz val="12"/>
            <color indexed="81"/>
            <rFont val="Tahoma"/>
            <family val="2"/>
          </rPr>
          <t>Enter your own numbers here for Custom Build</t>
        </r>
        <r>
          <rPr>
            <sz val="8"/>
            <color indexed="81"/>
            <rFont val="Tahoma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</rPr>
          <t>For Domed pistons, enter a negative value</t>
        </r>
        <r>
          <rPr>
            <sz val="8"/>
            <color indexed="81"/>
            <rFont val="Tahoma"/>
          </rPr>
          <t xml:space="preserve">
</t>
        </r>
      </text>
    </comment>
    <comment ref="J36" authorId="0">
      <text>
        <r>
          <rPr>
            <b/>
            <sz val="10"/>
            <color indexed="81"/>
            <rFont val="Tahoma"/>
            <family val="2"/>
          </rPr>
          <t>Enter the choices exactly as shown. Case sensitive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<sst xmlns="http://schemas.openxmlformats.org/spreadsheetml/2006/main" count="126" uniqueCount="119">
  <si>
    <t>Compression Ratio Calculator</t>
  </si>
  <si>
    <r>
      <t xml:space="preserve">Enter Engine #           here </t>
    </r>
    <r>
      <rPr>
        <b/>
        <sz val="12"/>
        <rFont val="Arial"/>
        <family val="2"/>
      </rPr>
      <t xml:space="preserve">          -----&gt;</t>
    </r>
  </si>
  <si>
    <t>Inches</t>
  </si>
  <si>
    <t>Engine #</t>
  </si>
  <si>
    <t>Total Volume CELL B10</t>
  </si>
  <si>
    <t>Bore (mm)</t>
  </si>
  <si>
    <t>Stroke (mm)</t>
  </si>
  <si>
    <t>Gasket Thickness (mm)</t>
  </si>
  <si>
    <t>EJ22T</t>
  </si>
  <si>
    <t>head gsk thk (mm)</t>
  </si>
  <si>
    <t>head gsk bore (mm)</t>
  </si>
  <si>
    <t>Deck height (+/-)mm</t>
  </si>
  <si>
    <t>Compression Ratio</t>
  </si>
  <si>
    <t>Cylinder volume (cc)</t>
  </si>
  <si>
    <t># of Cylinders</t>
  </si>
  <si>
    <t>EJ25 SOHC  (STG II / STG III) with TWE HO PISTONS</t>
  </si>
  <si>
    <t>Custom Configuration</t>
  </si>
  <si>
    <t>*</t>
  </si>
  <si>
    <t>Seat height change(mm)</t>
  </si>
  <si>
    <t>Volume change (cc)</t>
  </si>
  <si>
    <t>Quench Clearance(mm)</t>
  </si>
  <si>
    <t>Head Mill Depth (inches)</t>
  </si>
  <si>
    <t xml:space="preserve"> SOHC EJ25 Volume reduction(cc)</t>
  </si>
  <si>
    <t>DOHC EJ25 Volume reduction(cc)</t>
  </si>
  <si>
    <t>Deck Mill Depth (in)</t>
  </si>
  <si>
    <t>Rod/Stroke ratio</t>
  </si>
  <si>
    <t>Con Rod Length (mm)</t>
  </si>
  <si>
    <r>
      <t>Engine Speed</t>
    </r>
    <r>
      <rPr>
        <sz val="10"/>
        <rFont val="Arial"/>
      </rPr>
      <t xml:space="preserve"> </t>
    </r>
    <r>
      <rPr>
        <b/>
        <sz val="10"/>
        <rFont val="Arial"/>
        <family val="2"/>
      </rPr>
      <t>(rpm)</t>
    </r>
  </si>
  <si>
    <r>
      <t>Mean Piston Speed</t>
    </r>
    <r>
      <rPr>
        <sz val="10"/>
        <rFont val="Arial"/>
      </rPr>
      <t xml:space="preserve">  </t>
    </r>
    <r>
      <rPr>
        <b/>
        <sz val="10"/>
        <rFont val="Arial"/>
        <family val="2"/>
      </rPr>
      <t>(m/s)</t>
    </r>
  </si>
  <si>
    <r>
      <t xml:space="preserve">                                 </t>
    </r>
    <r>
      <rPr>
        <b/>
        <sz val="10"/>
        <rFont val="Arial"/>
        <family val="2"/>
      </rPr>
      <t xml:space="preserve"> (f/m)</t>
    </r>
  </si>
  <si>
    <t>piston acceleration
(m/s^2)
(divided by 1000)</t>
  </si>
  <si>
    <t>piston
velocity
(m/s)</t>
  </si>
  <si>
    <t>piston
displacement
from TDC (mm)</t>
  </si>
  <si>
    <t>Y2 (mm)</t>
  </si>
  <si>
    <t>rod angularity
Gamma
(deg. from vertical)</t>
  </si>
  <si>
    <t>rod angularity
Alpha
(rad. from horizontal)</t>
  </si>
  <si>
    <t>Y1 (mm)</t>
  </si>
  <si>
    <t>X1 (mm)</t>
  </si>
  <si>
    <t>crank rotation
Theta
(radians from TDC)</t>
  </si>
  <si>
    <t>crank rotation
Theta
(deg. from TDC)</t>
  </si>
  <si>
    <t>degrees per second</t>
  </si>
  <si>
    <t>revolutions per minute     =</t>
  </si>
  <si>
    <t>RPM =</t>
  </si>
  <si>
    <t>stroke divided by 2</t>
  </si>
  <si>
    <t>radius =</t>
  </si>
  <si>
    <t>mm</t>
  </si>
  <si>
    <t>crank stroke =</t>
  </si>
  <si>
    <t xml:space="preserve">rod length = </t>
  </si>
  <si>
    <t>Equations for Piston Displacement, 
Velocity and Acceleration</t>
  </si>
  <si>
    <t>EA82T</t>
  </si>
  <si>
    <t>Number of Intake Valves</t>
  </si>
  <si>
    <t>Number of Exhaust Valves</t>
  </si>
  <si>
    <t>Ex Valve diameter (mm)</t>
  </si>
  <si>
    <t>In Valve diameter (mm)</t>
  </si>
  <si>
    <t>Rod Length (mm)</t>
  </si>
  <si>
    <t>Crank to Deck Height (mm) +/- 0.20mm</t>
  </si>
  <si>
    <t>Piston Compresion Height (mm)</t>
  </si>
  <si>
    <t>Comb Chamber Volume (cc) +/- .1 cc</t>
  </si>
  <si>
    <t>Piston Deck Height (mm) +/- .02 mm</t>
  </si>
  <si>
    <t>Piston Compresion Height (in)</t>
  </si>
  <si>
    <r>
      <t>*</t>
    </r>
    <r>
      <rPr>
        <b/>
        <sz val="12"/>
        <color indexed="61"/>
        <rFont val="Arial"/>
        <family val="2"/>
      </rPr>
      <t xml:space="preserve"> Above number are affected by Deck Mill Depth</t>
    </r>
  </si>
  <si>
    <t>Rod Length (in)</t>
  </si>
  <si>
    <t>Subaru Head/Piston Volumes and other Data</t>
  </si>
  <si>
    <t xml:space="preserve">*Stage I heads and Blocks are generally milled  .002"~.004"  </t>
  </si>
  <si>
    <r>
      <t xml:space="preserve">Valve Stem length (mm)                            </t>
    </r>
    <r>
      <rPr>
        <b/>
        <sz val="12"/>
        <rFont val="Arial"/>
        <family val="2"/>
      </rPr>
      <t xml:space="preserve">exh </t>
    </r>
    <r>
      <rPr>
        <b/>
        <sz val="10"/>
        <rFont val="Arial"/>
        <family val="2"/>
      </rPr>
      <t xml:space="preserve">        </t>
    </r>
    <r>
      <rPr>
        <b/>
        <sz val="12"/>
        <rFont val="Arial"/>
        <family val="2"/>
      </rPr>
      <t xml:space="preserve">intake   </t>
    </r>
    <r>
      <rPr>
        <b/>
        <sz val="9"/>
        <rFont val="Arial"/>
        <family val="2"/>
      </rPr>
      <t>(+/-0.10mm)</t>
    </r>
  </si>
  <si>
    <t>** Stage II/III heads are generally milled a maximum of .012"             Decks are milled for correct quench clearance.</t>
  </si>
  <si>
    <t>Engine Displacement (cc)</t>
  </si>
  <si>
    <t>Gasket Thickness (in)</t>
  </si>
  <si>
    <t>Piston Deck Height (in) +/- .001 in</t>
  </si>
  <si>
    <t>DOHC EJ257 Sti Volume reduction(cc)</t>
  </si>
  <si>
    <r>
      <t xml:space="preserve">Cells with this </t>
    </r>
    <r>
      <rPr>
        <u/>
        <sz val="20"/>
        <color indexed="8"/>
        <rFont val="Arial"/>
        <family val="2"/>
      </rPr>
      <t>color will accept data entries next to it</t>
    </r>
  </si>
  <si>
    <t>Enter Known Block          &lt;----- Height</t>
  </si>
  <si>
    <t>New  style OEM Gasket</t>
  </si>
  <si>
    <t>DOHC EJ20T WRX Volume reduction(cc)</t>
  </si>
  <si>
    <t>Choices:         25D or 257 or 25S or 20T</t>
  </si>
  <si>
    <t>Comb chamb plus Piston dish vol (cc)</t>
  </si>
  <si>
    <r>
      <t>EJ25 SOHC Combustion Chamber area =</t>
    </r>
    <r>
      <rPr>
        <b/>
        <i/>
        <u/>
        <sz val="12"/>
        <rFont val="Arial"/>
        <family val="2"/>
      </rPr>
      <t xml:space="preserve"> 60.8 cm^2</t>
    </r>
  </si>
  <si>
    <r>
      <t xml:space="preserve">EJ25 DOHC Combustion Chamber area= </t>
    </r>
    <r>
      <rPr>
        <b/>
        <i/>
        <u/>
        <sz val="12"/>
        <rFont val="Arial"/>
        <family val="2"/>
      </rPr>
      <t>56.25 cm^2</t>
    </r>
  </si>
  <si>
    <r>
      <t xml:space="preserve">EJ205 Combustion Chanber area= </t>
    </r>
    <r>
      <rPr>
        <b/>
        <i/>
        <u/>
        <sz val="12"/>
        <rFont val="Arial"/>
        <family val="2"/>
      </rPr>
      <t>59.95 cm^2</t>
    </r>
  </si>
  <si>
    <r>
      <t xml:space="preserve">EJ257 STi Combustion Chamber area= </t>
    </r>
    <r>
      <rPr>
        <b/>
        <i/>
        <u/>
        <sz val="12"/>
        <rFont val="Arial"/>
        <family val="2"/>
      </rPr>
      <t>65.18 cm^2</t>
    </r>
  </si>
  <si>
    <t>EJ25 SOHC with TWE STi PISTONS &amp; STi rods</t>
  </si>
  <si>
    <t>EJ25 DOHC with TWE STi PISTONS &amp; STi rods</t>
  </si>
  <si>
    <r>
      <t>*</t>
    </r>
    <r>
      <rPr>
        <b/>
        <sz val="12"/>
        <color indexed="14"/>
        <rFont val="Arial"/>
        <family val="2"/>
      </rPr>
      <t xml:space="preserve"> Above numbers are affected by Head Mill Depth</t>
    </r>
  </si>
  <si>
    <t>Rod Length</t>
  </si>
  <si>
    <t>Rod /Stroke Ratio</t>
  </si>
  <si>
    <t>Max RPM desired</t>
  </si>
  <si>
    <t>Mean Piston Speed</t>
  </si>
  <si>
    <t>m/s</t>
  </si>
  <si>
    <t>ft/s</t>
  </si>
  <si>
    <t>USDM Heads Only!</t>
  </si>
  <si>
    <t>inches</t>
  </si>
  <si>
    <t>EJ257 STi with TWE STi PISTONS and 84mm STROKER Crank</t>
  </si>
  <si>
    <t>EJ20T ver8 DOHC</t>
  </si>
  <si>
    <t>EJ20T DOHC USDM</t>
  </si>
  <si>
    <t>EJ257 STI</t>
  </si>
  <si>
    <t>EJ256 WRX</t>
  </si>
  <si>
    <t>Piston Dish Volume (cc) +/- .1 cc</t>
  </si>
  <si>
    <t>Ignore these cells</t>
  </si>
  <si>
    <t>EJ257 STi Block and Heads STROKER Crank with  102mm TWE STi HYBRID PISTONS</t>
  </si>
  <si>
    <t xml:space="preserve">EJ22T stock with TWE 98mm STi style pistons &amp;  STi rods 79mm crank WRX Head </t>
  </si>
  <si>
    <t>EJ257 STi with  TWE STi HYBRID PISTONS (99.5mm Drop In) and WRX EJ207 Head</t>
  </si>
  <si>
    <t>EJ20G ver2 DOHC</t>
  </si>
  <si>
    <t>EJ20 ver4 DOHC</t>
  </si>
  <si>
    <t>EG33</t>
  </si>
  <si>
    <t xml:space="preserve">WRX EJ20T with TWE 92.5mm pistons </t>
  </si>
  <si>
    <t xml:space="preserve">WRX EJ20T Stroker with TWE 92.5mm pistons </t>
  </si>
  <si>
    <t xml:space="preserve">WRX EJ20T with Wiseco Stock 92.5mm pistons </t>
  </si>
  <si>
    <t xml:space="preserve">WRX EJ20T Stroker with Wiseco Stock 92.5mm pistons </t>
  </si>
  <si>
    <t>EJ251 SOHC</t>
  </si>
  <si>
    <t>EJ253 2.5i</t>
  </si>
  <si>
    <t>EJ257 Sti High Comp Pistons with Sti Heads</t>
  </si>
  <si>
    <t>EJ20T ver4 (97 Forrester JDM)</t>
  </si>
  <si>
    <t>EJ25D DOHC (USDM Normally Aspirated)</t>
  </si>
  <si>
    <t>Keep this clearance between 0.028"and 0.032" for race engines with race quality rods-- 0.035" and 0.040" for street engines</t>
  </si>
  <si>
    <t>FA20 BRZ</t>
  </si>
  <si>
    <t>EJ257 STi with TWE Ver2 STi PISTONS</t>
  </si>
  <si>
    <t>EJ257 STi with  TWE Ver2 STi PISTONS and WRX Head</t>
  </si>
  <si>
    <t>EJ253 2.5i with TWE Pistons</t>
  </si>
  <si>
    <t>25S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</si>
</sst>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0.0000"/>
  </numFmts>
  <fonts count="64" x14ac:knownFonts="1">
    <font>
      <sz val="10"/>
      <name val="Arial"/>
    </font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4"/>
      <name val="Arial"/>
      <family val="2"/>
    </font>
    <font>
      <b/>
      <sz val="10"/>
      <name val="Arial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14"/>
      <name val="Arial"/>
      <family val="2"/>
    </font>
    <font>
      <sz val="10"/>
      <color indexed="48"/>
      <name val="Arial"/>
    </font>
    <font>
      <b/>
      <sz val="10"/>
      <color indexed="61"/>
      <name val="Arial"/>
      <family val="2"/>
    </font>
    <font>
      <sz val="10"/>
      <color indexed="61"/>
      <name val="Arial"/>
      <family val="2"/>
    </font>
    <font>
      <b/>
      <sz val="16"/>
      <color indexed="10"/>
      <name val="Arial"/>
      <family val="2"/>
    </font>
    <font>
      <b/>
      <sz val="14"/>
      <color indexed="48"/>
      <name val="Arial"/>
      <family val="2"/>
    </font>
    <font>
      <b/>
      <sz val="18"/>
      <color indexed="57"/>
      <name val="Arial"/>
      <family val="2"/>
    </font>
    <font>
      <b/>
      <sz val="12"/>
      <color indexed="4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24"/>
      <color indexed="61"/>
      <name val="Arial"/>
      <family val="2"/>
    </font>
    <font>
      <b/>
      <sz val="14"/>
      <color indexed="60"/>
      <name val="Arial"/>
      <family val="2"/>
    </font>
    <font>
      <b/>
      <i/>
      <sz val="26"/>
      <color indexed="14"/>
      <name val="Arial"/>
      <family val="2"/>
    </font>
    <font>
      <b/>
      <sz val="11"/>
      <name val="Arial"/>
      <family val="2"/>
    </font>
    <font>
      <b/>
      <sz val="14"/>
      <color indexed="14"/>
      <name val="Arial"/>
      <family val="2"/>
    </font>
    <font>
      <u/>
      <sz val="10"/>
      <name val="Arial"/>
      <family val="2"/>
    </font>
    <font>
      <b/>
      <sz val="12"/>
      <color indexed="61"/>
      <name val="Arial"/>
      <family val="2"/>
    </font>
    <font>
      <b/>
      <sz val="14"/>
      <color indexed="10"/>
      <name val="Arial"/>
      <family val="2"/>
    </font>
    <font>
      <sz val="8"/>
      <name val="Arial"/>
    </font>
    <font>
      <sz val="10"/>
      <color indexed="55"/>
      <name val="Arial"/>
      <family val="2"/>
    </font>
    <font>
      <b/>
      <i/>
      <sz val="16"/>
      <name val="Arial"/>
      <family val="2"/>
    </font>
    <font>
      <sz val="12"/>
      <name val="Arial"/>
    </font>
    <font>
      <sz val="16"/>
      <color indexed="48"/>
      <name val="Arial"/>
    </font>
    <font>
      <b/>
      <sz val="24"/>
      <color indexed="14"/>
      <name val="Arial"/>
      <family val="2"/>
    </font>
    <font>
      <sz val="12"/>
      <name val="Arial"/>
      <family val="2"/>
    </font>
    <font>
      <b/>
      <i/>
      <sz val="16"/>
      <color indexed="10"/>
      <name val="Arial"/>
      <family val="2"/>
    </font>
    <font>
      <b/>
      <sz val="9"/>
      <name val="Arial"/>
      <family val="2"/>
    </font>
    <font>
      <sz val="14"/>
      <name val="Arial"/>
    </font>
    <font>
      <sz val="22"/>
      <name val="Arial"/>
      <family val="2"/>
    </font>
    <font>
      <u/>
      <sz val="20"/>
      <name val="Arial"/>
      <family val="2"/>
    </font>
    <font>
      <u/>
      <sz val="20"/>
      <color indexed="8"/>
      <name val="Arial"/>
      <family val="2"/>
    </font>
    <font>
      <sz val="10"/>
      <name val="Arial"/>
      <family val="2"/>
    </font>
    <font>
      <sz val="8"/>
      <color indexed="81"/>
      <name val="Tahoma"/>
    </font>
    <font>
      <b/>
      <i/>
      <u/>
      <sz val="12"/>
      <name val="Arial"/>
      <family val="2"/>
    </font>
    <font>
      <i/>
      <sz val="12"/>
      <name val="Arial"/>
      <family val="2"/>
    </font>
    <font>
      <b/>
      <sz val="18"/>
      <color indexed="10"/>
      <name val="Arial"/>
      <family val="2"/>
    </font>
    <font>
      <sz val="16"/>
      <color indexed="48"/>
      <name val="Arial"/>
      <family val="2"/>
    </font>
    <font>
      <b/>
      <sz val="16"/>
      <name val="Arial"/>
      <family val="2"/>
    </font>
    <font>
      <b/>
      <sz val="10"/>
      <color indexed="81"/>
      <name val="Tahoma"/>
      <family val="2"/>
    </font>
    <font>
      <sz val="10"/>
      <color indexed="9"/>
      <name val="Arial"/>
    </font>
    <font>
      <sz val="10"/>
      <color indexed="61"/>
      <name val="Arial"/>
    </font>
    <font>
      <b/>
      <sz val="16"/>
      <color indexed="8"/>
      <name val="Arial"/>
      <family val="2"/>
    </font>
    <font>
      <b/>
      <sz val="12"/>
      <color indexed="81"/>
      <name val="Tahoma"/>
      <family val="2"/>
    </font>
    <font>
      <b/>
      <sz val="12"/>
      <color indexed="12"/>
      <name val="Arial"/>
      <family val="2"/>
    </font>
    <font>
      <b/>
      <sz val="12"/>
      <color indexed="57"/>
      <name val="Arial"/>
      <family val="2"/>
    </font>
    <font>
      <b/>
      <sz val="12"/>
      <color indexed="10"/>
      <name val="Arial"/>
      <family val="2"/>
    </font>
    <font>
      <b/>
      <sz val="12"/>
      <color indexed="53"/>
      <name val="Arial"/>
      <family val="2"/>
    </font>
    <font>
      <b/>
      <sz val="12"/>
      <color indexed="54"/>
      <name val="Arial"/>
      <family val="2"/>
    </font>
    <font>
      <b/>
      <sz val="12"/>
      <color indexed="6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 applyAlignment="1">
      <alignment wrapText="1"/>
    </xf>
    <xf numFmtId="0" fontId="0" fillId="0" borderId="8" xfId="0" applyBorder="1" applyProtection="1">
      <protection hidden="1"/>
    </xf>
    <xf numFmtId="0" fontId="3" fillId="0" borderId="9" xfId="0" applyFont="1" applyBorder="1"/>
    <xf numFmtId="0" fontId="0" fillId="0" borderId="0" xfId="0" applyBorder="1"/>
    <xf numFmtId="0" fontId="2" fillId="0" borderId="10" xfId="0" applyFont="1" applyBorder="1"/>
    <xf numFmtId="0" fontId="7" fillId="0" borderId="8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12" xfId="0" applyFont="1" applyBorder="1"/>
    <xf numFmtId="2" fontId="10" fillId="0" borderId="13" xfId="0" applyNumberFormat="1" applyFont="1" applyBorder="1" applyProtection="1"/>
    <xf numFmtId="2" fontId="0" fillId="0" borderId="8" xfId="0" applyNumberFormat="1" applyBorder="1" applyProtection="1">
      <protection hidden="1"/>
    </xf>
    <xf numFmtId="165" fontId="10" fillId="0" borderId="9" xfId="0" applyNumberFormat="1" applyFont="1" applyBorder="1"/>
    <xf numFmtId="2" fontId="0" fillId="0" borderId="0" xfId="0" applyNumberFormat="1" applyBorder="1"/>
    <xf numFmtId="164" fontId="11" fillId="0" borderId="8" xfId="0" applyNumberFormat="1" applyFont="1" applyFill="1" applyBorder="1" applyAlignment="1">
      <alignment wrapText="1"/>
    </xf>
    <xf numFmtId="2" fontId="12" fillId="0" borderId="8" xfId="0" applyNumberFormat="1" applyFont="1" applyFill="1" applyBorder="1" applyAlignment="1">
      <alignment wrapText="1"/>
    </xf>
    <xf numFmtId="0" fontId="13" fillId="0" borderId="11" xfId="0" applyFont="1" applyBorder="1" applyAlignment="1">
      <alignment wrapText="1"/>
    </xf>
    <xf numFmtId="166" fontId="13" fillId="0" borderId="8" xfId="0" applyNumberFormat="1" applyFont="1" applyBorder="1" applyAlignment="1">
      <alignment wrapText="1"/>
    </xf>
    <xf numFmtId="2" fontId="14" fillId="0" borderId="8" xfId="0" applyNumberFormat="1" applyFont="1" applyBorder="1"/>
    <xf numFmtId="2" fontId="10" fillId="0" borderId="14" xfId="0" applyNumberFormat="1" applyFont="1" applyBorder="1" applyProtection="1"/>
    <xf numFmtId="2" fontId="14" fillId="0" borderId="14" xfId="0" applyNumberFormat="1" applyFont="1" applyBorder="1" applyProtection="1"/>
    <xf numFmtId="165" fontId="14" fillId="0" borderId="9" xfId="0" applyNumberFormat="1" applyFont="1" applyBorder="1"/>
    <xf numFmtId="2" fontId="15" fillId="0" borderId="8" xfId="0" applyNumberFormat="1" applyFont="1" applyBorder="1" applyProtection="1"/>
    <xf numFmtId="2" fontId="0" fillId="0" borderId="14" xfId="0" applyNumberFormat="1" applyBorder="1" applyProtection="1">
      <protection hidden="1"/>
    </xf>
    <xf numFmtId="165" fontId="15" fillId="0" borderId="9" xfId="0" applyNumberFormat="1" applyFont="1" applyBorder="1"/>
    <xf numFmtId="2" fontId="14" fillId="0" borderId="8" xfId="0" applyNumberFormat="1" applyFont="1" applyBorder="1" applyProtection="1"/>
    <xf numFmtId="2" fontId="12" fillId="0" borderId="8" xfId="0" applyNumberFormat="1" applyFont="1" applyBorder="1" applyProtection="1"/>
    <xf numFmtId="165" fontId="12" fillId="0" borderId="9" xfId="0" applyNumberFormat="1" applyFont="1" applyBorder="1"/>
    <xf numFmtId="2" fontId="16" fillId="0" borderId="8" xfId="0" applyNumberFormat="1" applyFont="1" applyBorder="1" applyProtection="1"/>
    <xf numFmtId="2" fontId="16" fillId="0" borderId="9" xfId="0" applyNumberFormat="1" applyFont="1" applyBorder="1"/>
    <xf numFmtId="164" fontId="11" fillId="0" borderId="15" xfId="0" applyNumberFormat="1" applyFont="1" applyBorder="1" applyAlignment="1">
      <alignment wrapText="1"/>
    </xf>
    <xf numFmtId="0" fontId="13" fillId="0" borderId="16" xfId="0" applyFont="1" applyBorder="1" applyAlignment="1">
      <alignment wrapText="1"/>
    </xf>
    <xf numFmtId="166" fontId="13" fillId="0" borderId="15" xfId="0" applyNumberFormat="1" applyFont="1" applyBorder="1" applyAlignment="1">
      <alignment wrapText="1"/>
    </xf>
    <xf numFmtId="164" fontId="17" fillId="0" borderId="8" xfId="0" applyNumberFormat="1" applyFont="1" applyBorder="1" applyProtection="1"/>
    <xf numFmtId="0" fontId="0" fillId="0" borderId="14" xfId="0" applyBorder="1" applyProtection="1">
      <protection hidden="1"/>
    </xf>
    <xf numFmtId="164" fontId="17" fillId="0" borderId="9" xfId="0" applyNumberFormat="1" applyFont="1" applyBorder="1"/>
    <xf numFmtId="2" fontId="12" fillId="0" borderId="15" xfId="0" applyNumberFormat="1" applyFont="1" applyFill="1" applyBorder="1" applyAlignment="1">
      <alignment wrapText="1"/>
    </xf>
    <xf numFmtId="0" fontId="13" fillId="0" borderId="15" xfId="0" applyFont="1" applyBorder="1" applyAlignment="1">
      <alignment wrapText="1"/>
    </xf>
    <xf numFmtId="0" fontId="18" fillId="0" borderId="17" xfId="0" applyFont="1" applyBorder="1" applyProtection="1">
      <protection locked="0"/>
    </xf>
    <xf numFmtId="0" fontId="0" fillId="0" borderId="18" xfId="0" applyBorder="1" applyProtection="1">
      <protection hidden="1"/>
    </xf>
    <xf numFmtId="0" fontId="7" fillId="0" borderId="19" xfId="0" applyFont="1" applyBorder="1"/>
    <xf numFmtId="164" fontId="19" fillId="0" borderId="19" xfId="0" applyNumberFormat="1" applyFont="1" applyBorder="1"/>
    <xf numFmtId="0" fontId="0" fillId="0" borderId="19" xfId="0" applyBorder="1"/>
    <xf numFmtId="0" fontId="7" fillId="2" borderId="0" xfId="0" applyFont="1" applyFill="1" applyBorder="1"/>
    <xf numFmtId="0" fontId="0" fillId="0" borderId="20" xfId="0" applyBorder="1" applyProtection="1">
      <protection locked="0"/>
    </xf>
    <xf numFmtId="0" fontId="20" fillId="0" borderId="0" xfId="0" applyFont="1"/>
    <xf numFmtId="0" fontId="20" fillId="0" borderId="0" xfId="0" applyFont="1" applyAlignment="1">
      <alignment wrapText="1"/>
    </xf>
    <xf numFmtId="0" fontId="21" fillId="0" borderId="0" xfId="0" applyFont="1"/>
    <xf numFmtId="0" fontId="0" fillId="0" borderId="0" xfId="0" applyBorder="1" applyAlignment="1">
      <alignment wrapText="1"/>
    </xf>
    <xf numFmtId="0" fontId="0" fillId="0" borderId="21" xfId="0" applyBorder="1" applyProtection="1">
      <protection locked="0"/>
    </xf>
    <xf numFmtId="0" fontId="7" fillId="0" borderId="0" xfId="0" applyFont="1" applyFill="1" applyBorder="1"/>
    <xf numFmtId="2" fontId="8" fillId="0" borderId="22" xfId="0" applyNumberFormat="1" applyFont="1" applyBorder="1"/>
    <xf numFmtId="0" fontId="0" fillId="0" borderId="0" xfId="0" applyFill="1" applyBorder="1" applyAlignment="1">
      <alignment wrapText="1"/>
    </xf>
    <xf numFmtId="0" fontId="4" fillId="0" borderId="0" xfId="0" applyFont="1"/>
    <xf numFmtId="0" fontId="7" fillId="0" borderId="23" xfId="0" applyFont="1" applyBorder="1"/>
    <xf numFmtId="0" fontId="7" fillId="0" borderId="24" xfId="0" applyFont="1" applyBorder="1"/>
    <xf numFmtId="0" fontId="0" fillId="0" borderId="25" xfId="0" applyBorder="1"/>
    <xf numFmtId="0" fontId="7" fillId="2" borderId="24" xfId="0" applyFont="1" applyFill="1" applyBorder="1"/>
    <xf numFmtId="164" fontId="11" fillId="0" borderId="26" xfId="0" applyNumberFormat="1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166" fontId="13" fillId="0" borderId="26" xfId="0" applyNumberFormat="1" applyFont="1" applyFill="1" applyBorder="1" applyAlignment="1">
      <alignment wrapText="1"/>
    </xf>
    <xf numFmtId="2" fontId="12" fillId="0" borderId="28" xfId="0" applyNumberFormat="1" applyFont="1" applyFill="1" applyBorder="1" applyAlignment="1" applyProtection="1">
      <alignment wrapText="1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2" fontId="32" fillId="0" borderId="0" xfId="0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2" fontId="12" fillId="0" borderId="29" xfId="0" applyNumberFormat="1" applyFont="1" applyFill="1" applyBorder="1" applyAlignment="1">
      <alignment wrapText="1"/>
    </xf>
    <xf numFmtId="0" fontId="13" fillId="0" borderId="30" xfId="0" applyFont="1" applyBorder="1" applyAlignment="1">
      <alignment wrapText="1"/>
    </xf>
    <xf numFmtId="166" fontId="13" fillId="0" borderId="29" xfId="0" applyNumberFormat="1" applyFont="1" applyBorder="1" applyAlignment="1">
      <alignment wrapText="1"/>
    </xf>
    <xf numFmtId="0" fontId="7" fillId="0" borderId="31" xfId="0" applyFont="1" applyFill="1" applyBorder="1"/>
    <xf numFmtId="0" fontId="0" fillId="0" borderId="32" xfId="0" applyBorder="1"/>
    <xf numFmtId="0" fontId="0" fillId="0" borderId="8" xfId="0" applyBorder="1"/>
    <xf numFmtId="164" fontId="8" fillId="0" borderId="8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3" fillId="6" borderId="33" xfId="0" applyFont="1" applyFill="1" applyBorder="1" applyAlignment="1" applyProtection="1">
      <alignment horizontal="center" vertical="center"/>
      <protection locked="0"/>
    </xf>
    <xf numFmtId="0" fontId="33" fillId="6" borderId="34" xfId="0" applyFont="1" applyFill="1" applyBorder="1" applyAlignment="1">
      <alignment horizontal="center" vertical="center"/>
    </xf>
    <xf numFmtId="0" fontId="33" fillId="6" borderId="35" xfId="0" applyFont="1" applyFill="1" applyBorder="1" applyAlignment="1">
      <alignment horizontal="center" vertical="center"/>
    </xf>
    <xf numFmtId="167" fontId="31" fillId="0" borderId="8" xfId="0" applyNumberFormat="1" applyFont="1" applyBorder="1" applyProtection="1">
      <protection hidden="1"/>
    </xf>
    <xf numFmtId="2" fontId="31" fillId="0" borderId="14" xfId="0" applyNumberFormat="1" applyFont="1" applyBorder="1" applyProtection="1">
      <protection hidden="1"/>
    </xf>
    <xf numFmtId="0" fontId="0" fillId="0" borderId="36" xfId="0" applyBorder="1"/>
    <xf numFmtId="0" fontId="25" fillId="0" borderId="8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wrapText="1"/>
    </xf>
    <xf numFmtId="165" fontId="12" fillId="0" borderId="8" xfId="0" applyNumberFormat="1" applyFont="1" applyBorder="1" applyProtection="1">
      <protection locked="0"/>
    </xf>
    <xf numFmtId="0" fontId="6" fillId="0" borderId="37" xfId="0" applyFont="1" applyBorder="1" applyAlignment="1">
      <alignment vertical="center" wrapText="1"/>
    </xf>
    <xf numFmtId="0" fontId="28" fillId="0" borderId="8" xfId="0" applyFont="1" applyBorder="1"/>
    <xf numFmtId="0" fontId="0" fillId="0" borderId="38" xfId="0" applyBorder="1"/>
    <xf numFmtId="2" fontId="27" fillId="0" borderId="39" xfId="0" applyNumberFormat="1" applyFont="1" applyBorder="1"/>
    <xf numFmtId="2" fontId="35" fillId="0" borderId="9" xfId="0" applyNumberFormat="1" applyFont="1" applyBorder="1"/>
    <xf numFmtId="0" fontId="0" fillId="0" borderId="0" xfId="0" applyProtection="1">
      <protection hidden="1"/>
    </xf>
    <xf numFmtId="0" fontId="7" fillId="2" borderId="40" xfId="0" applyFont="1" applyFill="1" applyBorder="1"/>
    <xf numFmtId="0" fontId="0" fillId="0" borderId="0" xfId="0" applyAlignment="1">
      <alignment wrapText="1"/>
    </xf>
    <xf numFmtId="0" fontId="38" fillId="0" borderId="41" xfId="0" applyFont="1" applyBorder="1"/>
    <xf numFmtId="165" fontId="0" fillId="0" borderId="14" xfId="0" applyNumberFormat="1" applyBorder="1"/>
    <xf numFmtId="0" fontId="5" fillId="0" borderId="42" xfId="0" applyFont="1" applyBorder="1" applyAlignment="1"/>
    <xf numFmtId="2" fontId="0" fillId="0" borderId="14" xfId="0" applyNumberFormat="1" applyBorder="1"/>
    <xf numFmtId="164" fontId="11" fillId="0" borderId="15" xfId="0" applyNumberFormat="1" applyFont="1" applyFill="1" applyBorder="1" applyAlignment="1">
      <alignment wrapText="1"/>
    </xf>
    <xf numFmtId="0" fontId="22" fillId="0" borderId="0" xfId="0" applyFont="1" applyBorder="1" applyAlignment="1">
      <alignment wrapText="1"/>
    </xf>
    <xf numFmtId="165" fontId="24" fillId="0" borderId="0" xfId="0" applyNumberFormat="1" applyFont="1" applyBorder="1"/>
    <xf numFmtId="2" fontId="0" fillId="0" borderId="43" xfId="0" applyNumberFormat="1" applyBorder="1"/>
    <xf numFmtId="0" fontId="0" fillId="0" borderId="0" xfId="0" applyBorder="1" applyAlignment="1" applyProtection="1"/>
    <xf numFmtId="165" fontId="40" fillId="0" borderId="14" xfId="0" applyNumberFormat="1" applyFont="1" applyBorder="1"/>
    <xf numFmtId="165" fontId="40" fillId="0" borderId="43" xfId="0" applyNumberFormat="1" applyFont="1" applyBorder="1"/>
    <xf numFmtId="165" fontId="14" fillId="0" borderId="29" xfId="0" applyNumberFormat="1" applyFont="1" applyBorder="1"/>
    <xf numFmtId="0" fontId="0" fillId="0" borderId="15" xfId="0" applyBorder="1"/>
    <xf numFmtId="0" fontId="0" fillId="0" borderId="44" xfId="0" applyBorder="1" applyAlignment="1">
      <alignment vertical="center"/>
    </xf>
    <xf numFmtId="0" fontId="6" fillId="0" borderId="45" xfId="0" applyFont="1" applyBorder="1" applyAlignment="1">
      <alignment vertical="center" wrapText="1"/>
    </xf>
    <xf numFmtId="0" fontId="41" fillId="2" borderId="0" xfId="0" applyFont="1" applyFill="1"/>
    <xf numFmtId="0" fontId="26" fillId="7" borderId="38" xfId="0" applyFont="1" applyFill="1" applyBorder="1" applyAlignment="1">
      <alignment wrapText="1"/>
    </xf>
    <xf numFmtId="164" fontId="11" fillId="2" borderId="28" xfId="0" applyNumberFormat="1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wrapText="1"/>
    </xf>
    <xf numFmtId="2" fontId="14" fillId="0" borderId="15" xfId="0" applyNumberFormat="1" applyFont="1" applyBorder="1"/>
    <xf numFmtId="165" fontId="14" fillId="0" borderId="26" xfId="0" applyNumberFormat="1" applyFont="1" applyBorder="1"/>
    <xf numFmtId="165" fontId="0" fillId="0" borderId="43" xfId="0" applyNumberFormat="1" applyBorder="1"/>
    <xf numFmtId="0" fontId="13" fillId="2" borderId="28" xfId="0" applyFont="1" applyFill="1" applyBorder="1" applyAlignment="1" applyProtection="1">
      <alignment wrapText="1"/>
      <protection locked="0"/>
    </xf>
    <xf numFmtId="165" fontId="40" fillId="0" borderId="28" xfId="0" applyNumberFormat="1" applyFont="1" applyBorder="1" applyProtection="1"/>
    <xf numFmtId="0" fontId="0" fillId="2" borderId="28" xfId="0" applyFill="1" applyBorder="1" applyProtection="1">
      <protection locked="0"/>
    </xf>
    <xf numFmtId="165" fontId="0" fillId="0" borderId="46" xfId="0" applyNumberFormat="1" applyBorder="1"/>
    <xf numFmtId="2" fontId="0" fillId="0" borderId="46" xfId="0" applyNumberFormat="1" applyBorder="1" applyProtection="1">
      <protection locked="0"/>
    </xf>
    <xf numFmtId="2" fontId="14" fillId="0" borderId="28" xfId="0" applyNumberFormat="1" applyFont="1" applyBorder="1"/>
    <xf numFmtId="165" fontId="14" fillId="0" borderId="28" xfId="0" applyNumberFormat="1" applyFont="1" applyBorder="1"/>
    <xf numFmtId="2" fontId="7" fillId="8" borderId="8" xfId="0" applyNumberFormat="1" applyFont="1" applyFill="1" applyBorder="1"/>
    <xf numFmtId="0" fontId="0" fillId="8" borderId="0" xfId="0" applyFill="1" applyAlignment="1">
      <alignment wrapText="1"/>
    </xf>
    <xf numFmtId="0" fontId="18" fillId="0" borderId="47" xfId="0" applyFont="1" applyBorder="1" applyProtection="1">
      <protection locked="0"/>
    </xf>
    <xf numFmtId="0" fontId="7" fillId="0" borderId="12" xfId="0" applyFont="1" applyBorder="1" applyAlignment="1">
      <alignment wrapText="1"/>
    </xf>
    <xf numFmtId="0" fontId="46" fillId="0" borderId="12" xfId="0" applyFont="1" applyBorder="1"/>
    <xf numFmtId="0" fontId="7" fillId="7" borderId="48" xfId="0" applyFont="1" applyFill="1" applyBorder="1"/>
    <xf numFmtId="0" fontId="37" fillId="0" borderId="49" xfId="0" applyFont="1" applyBorder="1" applyProtection="1">
      <protection hidden="1"/>
    </xf>
    <xf numFmtId="0" fontId="37" fillId="0" borderId="37" xfId="0" applyFont="1" applyBorder="1" applyAlignment="1" applyProtection="1">
      <protection hidden="1"/>
    </xf>
    <xf numFmtId="0" fontId="7" fillId="0" borderId="0" xfId="0" applyFont="1"/>
    <xf numFmtId="164" fontId="6" fillId="0" borderId="50" xfId="0" applyNumberFormat="1" applyFont="1" applyBorder="1" applyProtection="1"/>
    <xf numFmtId="167" fontId="6" fillId="0" borderId="51" xfId="0" applyNumberFormat="1" applyFont="1" applyBorder="1" applyAlignment="1">
      <alignment horizontal="center"/>
    </xf>
    <xf numFmtId="2" fontId="17" fillId="0" borderId="12" xfId="0" applyNumberFormat="1" applyFont="1" applyBorder="1"/>
    <xf numFmtId="0" fontId="7" fillId="0" borderId="37" xfId="0" applyFont="1" applyBorder="1"/>
    <xf numFmtId="2" fontId="30" fillId="0" borderId="12" xfId="0" applyNumberFormat="1" applyFont="1" applyBorder="1"/>
    <xf numFmtId="0" fontId="7" fillId="0" borderId="8" xfId="0" applyFont="1" applyBorder="1"/>
    <xf numFmtId="0" fontId="7" fillId="0" borderId="38" xfId="0" applyFont="1" applyBorder="1"/>
    <xf numFmtId="0" fontId="7" fillId="7" borderId="36" xfId="0" applyFont="1" applyFill="1" applyBorder="1"/>
    <xf numFmtId="0" fontId="0" fillId="0" borderId="52" xfId="0" applyBorder="1"/>
    <xf numFmtId="0" fontId="6" fillId="0" borderId="53" xfId="0" applyFont="1" applyBorder="1" applyAlignment="1">
      <alignment vertical="center" wrapText="1"/>
    </xf>
    <xf numFmtId="0" fontId="7" fillId="0" borderId="54" xfId="0" applyFont="1" applyBorder="1" applyAlignment="1">
      <alignment horizontal="center" vertical="center" wrapText="1"/>
    </xf>
    <xf numFmtId="2" fontId="49" fillId="9" borderId="8" xfId="0" applyNumberFormat="1" applyFont="1" applyFill="1" applyBorder="1" applyProtection="1"/>
    <xf numFmtId="2" fontId="24" fillId="0" borderId="55" xfId="0" applyNumberFormat="1" applyFont="1" applyBorder="1"/>
    <xf numFmtId="165" fontId="24" fillId="0" borderId="14" xfId="0" applyNumberFormat="1" applyFont="1" applyBorder="1"/>
    <xf numFmtId="165" fontId="24" fillId="0" borderId="56" xfId="0" applyNumberFormat="1" applyFont="1" applyBorder="1"/>
    <xf numFmtId="0" fontId="0" fillId="0" borderId="57" xfId="0" applyBorder="1"/>
    <xf numFmtId="0" fontId="37" fillId="0" borderId="58" xfId="0" applyFont="1" applyBorder="1"/>
    <xf numFmtId="0" fontId="37" fillId="0" borderId="59" xfId="0" applyFont="1" applyBorder="1"/>
    <xf numFmtId="49" fontId="50" fillId="2" borderId="6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vertical="center" wrapText="1"/>
    </xf>
    <xf numFmtId="0" fontId="0" fillId="0" borderId="11" xfId="0" applyBorder="1"/>
    <xf numFmtId="0" fontId="0" fillId="0" borderId="16" xfId="0" applyBorder="1"/>
    <xf numFmtId="0" fontId="0" fillId="2" borderId="61" xfId="0" applyFill="1" applyBorder="1" applyProtection="1">
      <protection locked="0"/>
    </xf>
    <xf numFmtId="165" fontId="14" fillId="2" borderId="8" xfId="0" applyNumberFormat="1" applyFont="1" applyFill="1" applyBorder="1" applyProtection="1">
      <protection locked="0"/>
    </xf>
    <xf numFmtId="165" fontId="14" fillId="2" borderId="15" xfId="0" applyNumberFormat="1" applyFont="1" applyFill="1" applyBorder="1" applyProtection="1">
      <protection locked="0"/>
    </xf>
    <xf numFmtId="165" fontId="14" fillId="2" borderId="28" xfId="0" applyNumberFormat="1" applyFont="1" applyFill="1" applyBorder="1" applyProtection="1">
      <protection locked="0"/>
    </xf>
    <xf numFmtId="0" fontId="1" fillId="0" borderId="0" xfId="0" applyFont="1"/>
    <xf numFmtId="0" fontId="7" fillId="0" borderId="43" xfId="0" applyFont="1" applyBorder="1" applyAlignment="1">
      <alignment vertical="center" wrapText="1"/>
    </xf>
    <xf numFmtId="0" fontId="0" fillId="0" borderId="62" xfId="0" applyBorder="1"/>
    <xf numFmtId="0" fontId="13" fillId="0" borderId="8" xfId="0" applyFont="1" applyFill="1" applyBorder="1" applyAlignment="1">
      <alignment wrapText="1"/>
    </xf>
    <xf numFmtId="166" fontId="13" fillId="0" borderId="8" xfId="0" applyNumberFormat="1" applyFont="1" applyFill="1" applyBorder="1" applyAlignment="1">
      <alignment wrapText="1"/>
    </xf>
    <xf numFmtId="165" fontId="12" fillId="0" borderId="63" xfId="0" applyNumberFormat="1" applyFont="1" applyBorder="1" applyAlignment="1" applyProtection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0" xfId="0" applyAlignment="1">
      <alignment vertical="center"/>
    </xf>
    <xf numFmtId="0" fontId="48" fillId="0" borderId="64" xfId="0" applyFont="1" applyBorder="1" applyAlignment="1">
      <alignment vertical="center"/>
    </xf>
    <xf numFmtId="2" fontId="53" fillId="0" borderId="14" xfId="0" applyNumberFormat="1" applyFont="1" applyBorder="1"/>
    <xf numFmtId="0" fontId="50" fillId="0" borderId="12" xfId="0" applyFont="1" applyBorder="1" applyProtection="1">
      <protection locked="0"/>
    </xf>
    <xf numFmtId="165" fontId="12" fillId="0" borderId="15" xfId="0" applyNumberFormat="1" applyFont="1" applyBorder="1" applyAlignment="1" applyProtection="1">
      <protection locked="0"/>
    </xf>
    <xf numFmtId="2" fontId="23" fillId="0" borderId="8" xfId="0" applyNumberFormat="1" applyFont="1" applyBorder="1" applyAlignment="1">
      <alignment horizontal="center" vertical="center"/>
    </xf>
    <xf numFmtId="0" fontId="26" fillId="2" borderId="15" xfId="0" applyFont="1" applyFill="1" applyBorder="1" applyAlignment="1">
      <alignment vertical="center" wrapText="1"/>
    </xf>
    <xf numFmtId="2" fontId="53" fillId="0" borderId="65" xfId="0" applyNumberFormat="1" applyFont="1" applyBorder="1"/>
    <xf numFmtId="2" fontId="53" fillId="0" borderId="66" xfId="0" applyNumberFormat="1" applyFont="1" applyBorder="1"/>
    <xf numFmtId="2" fontId="27" fillId="0" borderId="0" xfId="0" applyNumberFormat="1" applyFont="1" applyBorder="1"/>
    <xf numFmtId="0" fontId="54" fillId="2" borderId="67" xfId="0" applyFont="1" applyFill="1" applyBorder="1" applyAlignment="1">
      <alignment horizontal="center" wrapText="1"/>
    </xf>
    <xf numFmtId="0" fontId="42" fillId="2" borderId="0" xfId="0" applyFont="1" applyFill="1" applyAlignment="1">
      <alignment vertical="center"/>
    </xf>
    <xf numFmtId="2" fontId="30" fillId="0" borderId="68" xfId="0" applyNumberFormat="1" applyFont="1" applyBorder="1"/>
    <xf numFmtId="0" fontId="13" fillId="0" borderId="16" xfId="0" applyFont="1" applyFill="1" applyBorder="1" applyAlignment="1">
      <alignment wrapText="1"/>
    </xf>
    <xf numFmtId="166" fontId="13" fillId="0" borderId="15" xfId="0" applyNumberFormat="1" applyFont="1" applyFill="1" applyBorder="1" applyAlignment="1">
      <alignment wrapText="1"/>
    </xf>
    <xf numFmtId="0" fontId="6" fillId="0" borderId="10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19" fillId="0" borderId="70" xfId="0" applyFont="1" applyBorder="1" applyAlignment="1">
      <alignment vertical="center" wrapText="1"/>
    </xf>
    <xf numFmtId="0" fontId="57" fillId="0" borderId="10" xfId="0" applyFont="1" applyBorder="1" applyAlignment="1">
      <alignment vertical="center" wrapText="1"/>
    </xf>
    <xf numFmtId="0" fontId="58" fillId="0" borderId="10" xfId="0" applyFont="1" applyBorder="1" applyAlignment="1">
      <alignment vertical="center" wrapText="1"/>
    </xf>
    <xf numFmtId="0" fontId="59" fillId="0" borderId="10" xfId="0" applyFont="1" applyBorder="1" applyAlignment="1">
      <alignment vertical="center" wrapText="1"/>
    </xf>
    <xf numFmtId="0" fontId="60" fillId="0" borderId="10" xfId="0" applyFont="1" applyFill="1" applyBorder="1" applyAlignment="1">
      <alignment horizontal="left" vertical="center" wrapText="1"/>
    </xf>
    <xf numFmtId="0" fontId="52" fillId="7" borderId="71" xfId="0" applyFont="1" applyFill="1" applyBorder="1" applyAlignment="1">
      <alignment wrapText="1"/>
    </xf>
    <xf numFmtId="49" fontId="6" fillId="0" borderId="72" xfId="0" applyNumberFormat="1" applyFont="1" applyBorder="1" applyAlignment="1">
      <alignment wrapText="1"/>
    </xf>
    <xf numFmtId="49" fontId="34" fillId="0" borderId="42" xfId="0" applyNumberFormat="1" applyFont="1" applyBorder="1" applyAlignment="1">
      <alignment wrapText="1"/>
    </xf>
    <xf numFmtId="0" fontId="0" fillId="0" borderId="62" xfId="0" applyBorder="1" applyAlignment="1">
      <alignment wrapText="1"/>
    </xf>
    <xf numFmtId="2" fontId="40" fillId="2" borderId="73" xfId="0" applyNumberFormat="1" applyFont="1" applyFill="1" applyBorder="1" applyAlignment="1" applyProtection="1">
      <alignment horizontal="center" vertical="center"/>
      <protection locked="0"/>
    </xf>
    <xf numFmtId="0" fontId="61" fillId="0" borderId="10" xfId="0" applyFont="1" applyBorder="1" applyAlignment="1">
      <alignment vertical="center" wrapText="1"/>
    </xf>
    <xf numFmtId="2" fontId="53" fillId="0" borderId="74" xfId="0" applyNumberFormat="1" applyFont="1" applyBorder="1"/>
    <xf numFmtId="0" fontId="0" fillId="9" borderId="0" xfId="0" applyFill="1" applyAlignment="1"/>
    <xf numFmtId="0" fontId="3" fillId="0" borderId="75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1" fillId="0" borderId="76" xfId="0" applyFont="1" applyBorder="1" applyAlignment="1">
      <alignment vertical="center" wrapText="1"/>
    </xf>
    <xf numFmtId="0" fontId="1" fillId="0" borderId="77" xfId="0" applyFont="1" applyBorder="1" applyAlignment="1">
      <alignment vertical="center"/>
    </xf>
    <xf numFmtId="0" fontId="1" fillId="0" borderId="7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20" fillId="0" borderId="79" xfId="0" applyFont="1" applyBorder="1" applyAlignment="1">
      <alignment vertical="top" wrapText="1"/>
    </xf>
    <xf numFmtId="0" fontId="0" fillId="0" borderId="79" xfId="0" applyBorder="1" applyAlignment="1">
      <alignment vertical="top" wrapText="1"/>
    </xf>
    <xf numFmtId="0" fontId="7" fillId="0" borderId="14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4" fillId="0" borderId="80" xfId="0" applyFont="1" applyBorder="1" applyAlignment="1">
      <alignment vertical="center" wrapText="1"/>
    </xf>
    <xf numFmtId="0" fontId="47" fillId="0" borderId="81" xfId="0" applyFont="1" applyBorder="1" applyAlignment="1" applyProtection="1">
      <alignment vertical="center" wrapText="1"/>
      <protection hidden="1"/>
    </xf>
    <xf numFmtId="0" fontId="47" fillId="0" borderId="82" xfId="0" applyFont="1" applyBorder="1" applyAlignment="1" applyProtection="1">
      <alignment vertical="center" wrapText="1"/>
      <protection hidden="1"/>
    </xf>
    <xf numFmtId="0" fontId="47" fillId="0" borderId="83" xfId="0" applyFont="1" applyBorder="1" applyAlignment="1" applyProtection="1">
      <alignment vertical="center" wrapText="1"/>
      <protection hidden="1"/>
    </xf>
    <xf numFmtId="0" fontId="47" fillId="0" borderId="84" xfId="0" applyFont="1" applyBorder="1" applyAlignment="1" applyProtection="1">
      <alignment vertical="center" wrapText="1"/>
      <protection hidden="1"/>
    </xf>
    <xf numFmtId="0" fontId="47" fillId="0" borderId="85" xfId="0" applyFont="1" applyBorder="1" applyAlignment="1" applyProtection="1">
      <alignment vertical="center" wrapText="1"/>
      <protection hidden="1"/>
    </xf>
    <xf numFmtId="0" fontId="47" fillId="0" borderId="86" xfId="0" applyFont="1" applyBorder="1" applyAlignment="1" applyProtection="1">
      <alignment vertical="center" wrapText="1"/>
      <protection hidden="1"/>
    </xf>
    <xf numFmtId="165" fontId="23" fillId="0" borderId="63" xfId="0" applyNumberFormat="1" applyFont="1" applyBorder="1" applyAlignment="1" applyProtection="1">
      <alignment wrapText="1"/>
    </xf>
    <xf numFmtId="0" fontId="0" fillId="0" borderId="0" xfId="0" applyAlignment="1"/>
    <xf numFmtId="165" fontId="36" fillId="0" borderId="63" xfId="0" applyNumberFormat="1" applyFont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32" fillId="0" borderId="0" xfId="0" applyFont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26978616904765E-2"/>
          <c:y val="2.9259897981936771E-2"/>
          <c:w val="0.8909691629955947"/>
          <c:h val="0.94664371772805511"/>
        </c:manualLayout>
      </c:layout>
      <c:scatterChart>
        <c:scatterStyle val="lineMarker"/>
        <c:varyColors val="0"/>
        <c:ser>
          <c:idx val="0"/>
          <c:order val="0"/>
          <c:tx>
            <c:v>position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'Graph Data'!$A$8:$A$44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'Graph Data'!$H$8:$H$44</c:f>
              <c:numCache>
                <c:formatCode>0.00</c:formatCode>
                <c:ptCount val="37"/>
                <c:pt idx="0">
                  <c:v>0</c:v>
                </c:pt>
                <c:pt idx="1">
                  <c:v>-0.78047494129990014</c:v>
                </c:pt>
                <c:pt idx="2">
                  <c:v>-3.0833096239005897</c:v>
                </c:pt>
                <c:pt idx="3">
                  <c:v>-6.7951347627146959</c:v>
                </c:pt>
                <c:pt idx="4">
                  <c:v>-11.735006274775742</c:v>
                </c:pt>
                <c:pt idx="5">
                  <c:v>-17.666340898014312</c:v>
                </c:pt>
                <c:pt idx="6">
                  <c:v>-24.313224924649262</c:v>
                </c:pt>
                <c:pt idx="7">
                  <c:v>-31.380151992100707</c:v>
                </c:pt>
                <c:pt idx="8">
                  <c:v>-38.573407831666628</c:v>
                </c:pt>
                <c:pt idx="9">
                  <c:v>-45.621492865701626</c:v>
                </c:pt>
                <c:pt idx="10">
                  <c:v>-52.291608081843165</c:v>
                </c:pt>
                <c:pt idx="11">
                  <c:v>-58.399732062771463</c:v>
                </c:pt>
                <c:pt idx="12">
                  <c:v>-63.813208902213518</c:v>
                </c:pt>
                <c:pt idx="13">
                  <c:v>-68.446542436582376</c:v>
                </c:pt>
                <c:pt idx="14">
                  <c:v>-72.252495777016264</c:v>
                </c:pt>
                <c:pt idx="15">
                  <c:v>-75.211120620591146</c:v>
                </c:pt>
                <c:pt idx="16">
                  <c:v>-77.31900903467016</c:v>
                </c:pt>
                <c:pt idx="17">
                  <c:v>-78.580276683294045</c:v>
                </c:pt>
                <c:pt idx="18">
                  <c:v>-78.999999999903025</c:v>
                </c:pt>
                <c:pt idx="19">
                  <c:v>-78.580302219759787</c:v>
                </c:pt>
                <c:pt idx="20">
                  <c:v>-77.319060230193912</c:v>
                </c:pt>
                <c:pt idx="21">
                  <c:v>-75.211197641501599</c:v>
                </c:pt>
                <c:pt idx="22">
                  <c:v>-72.252598673950573</c:v>
                </c:pt>
                <c:pt idx="23">
                  <c:v>-68.4466709056165</c:v>
                </c:pt>
                <c:pt idx="24">
                  <c:v>-63.813361978884757</c:v>
                </c:pt>
                <c:pt idx="25">
                  <c:v>-58.399907782027256</c:v>
                </c:pt>
                <c:pt idx="26">
                  <c:v>-52.291803162749233</c:v>
                </c:pt>
                <c:pt idx="27">
                  <c:v>-45.621702499206975</c:v>
                </c:pt>
                <c:pt idx="28">
                  <c:v>-38.573625648182826</c:v>
                </c:pt>
                <c:pt idx="29">
                  <c:v>-31.380370255036581</c:v>
                </c:pt>
                <c:pt idx="30">
                  <c:v>-24.313434944021992</c:v>
                </c:pt>
                <c:pt idx="31">
                  <c:v>-17.666533606412145</c:v>
                </c:pt>
                <c:pt idx="32">
                  <c:v>-11.735172877865153</c:v>
                </c:pt>
                <c:pt idx="33">
                  <c:v>-6.7952673758072706</c:v>
                </c:pt>
                <c:pt idx="34">
                  <c:v>-3.0834018267382532</c:v>
                </c:pt>
                <c:pt idx="35">
                  <c:v>-0.78052221046306158</c:v>
                </c:pt>
                <c:pt idx="36">
                  <c:v>-7.2463990363758057E-10</c:v>
                </c:pt>
              </c:numCache>
            </c:numRef>
          </c:yVal>
          <c:smooth val="1"/>
        </c:ser>
        <c:ser>
          <c:idx val="1"/>
          <c:order val="1"/>
          <c:tx>
            <c:v>velocity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'Graph Data'!$A$8:$A$44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'Graph Data'!$I$8:$I$44</c:f>
              <c:numCache>
                <c:formatCode>0.00</c:formatCode>
                <c:ptCount val="37"/>
                <c:pt idx="0">
                  <c:v>1.2053451822986033E-4</c:v>
                </c:pt>
                <c:pt idx="1">
                  <c:v>-7.8624395409465038</c:v>
                </c:pt>
                <c:pt idx="2">
                  <c:v>-15.337382544607729</c:v>
                </c:pt>
                <c:pt idx="3">
                  <c:v>-22.061826459731638</c:v>
                </c:pt>
                <c:pt idx="4">
                  <c:v>-27.72157564501402</c:v>
                </c:pt>
                <c:pt idx="5">
                  <c:v>-32.074457557177475</c:v>
                </c:pt>
                <c:pt idx="6">
                  <c:v>-34.970218289920304</c:v>
                </c:pt>
                <c:pt idx="7">
                  <c:v>-36.363466412894283</c:v>
                </c:pt>
                <c:pt idx="8">
                  <c:v>-36.315419227682348</c:v>
                </c:pt>
                <c:pt idx="9">
                  <c:v>-34.981410637950169</c:v>
                </c:pt>
                <c:pt idx="10">
                  <c:v>-32.58450995252808</c:v>
                </c:pt>
                <c:pt idx="11">
                  <c:v>-29.380082091944399</c:v>
                </c:pt>
                <c:pt idx="12">
                  <c:v>-25.619366453217825</c:v>
                </c:pt>
                <c:pt idx="13">
                  <c:v>-21.520181530747006</c:v>
                </c:pt>
                <c:pt idx="14">
                  <c:v>-17.249674369222362</c:v>
                </c:pt>
                <c:pt idx="15">
                  <c:v>-12.919608807017433</c:v>
                </c:pt>
                <c:pt idx="16">
                  <c:v>-8.5913479598923939</c:v>
                </c:pt>
                <c:pt idx="17">
                  <c:v>-4.2865269613438075</c:v>
                </c:pt>
                <c:pt idx="18">
                  <c:v>-6.5117987642082653E-5</c:v>
                </c:pt>
                <c:pt idx="19">
                  <c:v>4.2863964127582372</c:v>
                </c:pt>
                <c:pt idx="20">
                  <c:v>8.59121667455838</c:v>
                </c:pt>
                <c:pt idx="21">
                  <c:v>12.919476968420517</c:v>
                </c:pt>
                <c:pt idx="22">
                  <c:v>17.249543176507004</c:v>
                </c:pt>
                <c:pt idx="23">
                  <c:v>21.520053572417829</c:v>
                </c:pt>
                <c:pt idx="24">
                  <c:v>25.619245965152572</c:v>
                </c:pt>
                <c:pt idx="25">
                  <c:v>29.379974981145587</c:v>
                </c:pt>
                <c:pt idx="26">
                  <c:v>32.58442347119172</c:v>
                </c:pt>
                <c:pt idx="27">
                  <c:v>34.981352662144332</c:v>
                </c:pt>
                <c:pt idx="28">
                  <c:v>36.315397222634509</c:v>
                </c:pt>
                <c:pt idx="29">
                  <c:v>36.36348629561013</c:v>
                </c:pt>
                <c:pt idx="30">
                  <c:v>34.970283453992316</c:v>
                </c:pt>
                <c:pt idx="31">
                  <c:v>32.074568268699934</c:v>
                </c:pt>
                <c:pt idx="32">
                  <c:v>27.721728888042431</c:v>
                </c:pt>
                <c:pt idx="33">
                  <c:v>22.062016180373593</c:v>
                </c:pt>
                <c:pt idx="34">
                  <c:v>15.337600171627731</c:v>
                </c:pt>
                <c:pt idx="35">
                  <c:v>7.862674656334713</c:v>
                </c:pt>
                <c:pt idx="36">
                  <c:v>1.2053451822986033E-4</c:v>
                </c:pt>
              </c:numCache>
            </c:numRef>
          </c:yVal>
          <c:smooth val="1"/>
        </c:ser>
        <c:ser>
          <c:idx val="2"/>
          <c:order val="2"/>
          <c:tx>
            <c:v>acceleration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'Graph Data'!$A$8:$A$44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'Graph Data'!$J$8:$J$44</c:f>
              <c:numCache>
                <c:formatCode>0.0</c:formatCode>
                <c:ptCount val="37"/>
                <c:pt idx="0">
                  <c:v>-40.099041203067102</c:v>
                </c:pt>
                <c:pt idx="1">
                  <c:v>-39.110632851771193</c:v>
                </c:pt>
                <c:pt idx="2">
                  <c:v>-36.208436642902086</c:v>
                </c:pt>
                <c:pt idx="3">
                  <c:v>-31.579692406036042</c:v>
                </c:pt>
                <c:pt idx="4">
                  <c:v>-25.53220929848689</c:v>
                </c:pt>
                <c:pt idx="5">
                  <c:v>-18.484038744511025</c:v>
                </c:pt>
                <c:pt idx="6">
                  <c:v>-10.93697258207786</c:v>
                </c:pt>
                <c:pt idx="7">
                  <c:v>-3.4302623912932129</c:v>
                </c:pt>
                <c:pt idx="8">
                  <c:v>3.5242422261074897</c:v>
                </c:pt>
                <c:pt idx="9">
                  <c:v>9.5138186516433834</c:v>
                </c:pt>
                <c:pt idx="10">
                  <c:v>14.283387792314715</c:v>
                </c:pt>
                <c:pt idx="11">
                  <c:v>17.761115923241153</c:v>
                </c:pt>
                <c:pt idx="12">
                  <c:v>20.042746431053352</c:v>
                </c:pt>
                <c:pt idx="13">
                  <c:v>21.342714814188433</c:v>
                </c:pt>
                <c:pt idx="14">
                  <c:v>21.931460445510414</c:v>
                </c:pt>
                <c:pt idx="15">
                  <c:v>22.078732343791419</c:v>
                </c:pt>
                <c:pt idx="16">
                  <c:v>22.014358706467743</c:v>
                </c:pt>
                <c:pt idx="17">
                  <c:v>21.907771246857116</c:v>
                </c:pt>
                <c:pt idx="18">
                  <c:v>21.860954603960209</c:v>
                </c:pt>
                <c:pt idx="19">
                  <c:v>21.907768570992353</c:v>
                </c:pt>
                <c:pt idx="20">
                  <c:v>22.014355416938816</c:v>
                </c:pt>
                <c:pt idx="21">
                  <c:v>22.078732579968989</c:v>
                </c:pt>
                <c:pt idx="22">
                  <c:v>21.931470340193147</c:v>
                </c:pt>
                <c:pt idx="23">
                  <c:v>21.342742111046203</c:v>
                </c:pt>
                <c:pt idx="24">
                  <c:v>20.042799592255779</c:v>
                </c:pt>
                <c:pt idx="25">
                  <c:v>17.761202640399823</c:v>
                </c:pt>
                <c:pt idx="26">
                  <c:v>14.283513086546799</c:v>
                </c:pt>
                <c:pt idx="27">
                  <c:v>9.5139830661791134</c:v>
                </c:pt>
                <c:pt idx="28">
                  <c:v>3.5244407653377863</c:v>
                </c:pt>
                <c:pt idx="29">
                  <c:v>-3.4300401100375919</c:v>
                </c:pt>
                <c:pt idx="30">
                  <c:v>-10.936740968620999</c:v>
                </c:pt>
                <c:pt idx="31">
                  <c:v>-18.483814143172207</c:v>
                </c:pt>
                <c:pt idx="32">
                  <c:v>-25.532007825232171</c:v>
                </c:pt>
                <c:pt idx="33">
                  <c:v>-31.579528226857484</c:v>
                </c:pt>
                <c:pt idx="34">
                  <c:v>-36.208320886299155</c:v>
                </c:pt>
                <c:pt idx="35">
                  <c:v>-39.110573074629222</c:v>
                </c:pt>
                <c:pt idx="36">
                  <c:v>-40.099041203067102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709120"/>
        <c:axId val="232300544"/>
      </c:scatterChart>
      <c:valAx>
        <c:axId val="230709120"/>
        <c:scaling>
          <c:orientation val="minMax"/>
          <c:max val="36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crank rotation (degrees)</a:t>
                </a:r>
              </a:p>
            </c:rich>
          </c:tx>
          <c:layout>
            <c:manualLayout>
              <c:xMode val="edge"/>
              <c:yMode val="edge"/>
              <c:x val="0.46365638766519823"/>
              <c:y val="0.29776247848537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300544"/>
        <c:crosses val="autoZero"/>
        <c:crossBetween val="midCat"/>
        <c:majorUnit val="15"/>
      </c:valAx>
      <c:valAx>
        <c:axId val="232300544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piston position, velocity, acceleration ( mm , m/sec , 
m/sec²/1000 )</a:t>
                </a:r>
              </a:p>
            </c:rich>
          </c:tx>
          <c:layout>
            <c:manualLayout>
              <c:xMode val="edge"/>
              <c:yMode val="edge"/>
              <c:x val="5.5066079295154188E-3"/>
              <c:y val="0.2495697074010327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709120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140969162995594"/>
          <c:y val="5.3356282271944923E-2"/>
          <c:w val="0.13766519823788548"/>
          <c:h val="0.110154905335628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8331503841932"/>
          <c:y val="4.3338683788121987E-2"/>
          <c:w val="0.73435784851811192"/>
          <c:h val="0.8780096308186196"/>
        </c:manualLayout>
      </c:layout>
      <c:scatterChart>
        <c:scatterStyle val="lineMarker"/>
        <c:varyColors val="0"/>
        <c:ser>
          <c:idx val="0"/>
          <c:order val="0"/>
          <c:tx>
            <c:v>displacement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'Graph Data'!$A$8:$A$44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'Graph Data'!$H$8:$H$44</c:f>
              <c:numCache>
                <c:formatCode>0.00</c:formatCode>
                <c:ptCount val="37"/>
                <c:pt idx="0">
                  <c:v>0</c:v>
                </c:pt>
                <c:pt idx="1">
                  <c:v>-0.78047494129990014</c:v>
                </c:pt>
                <c:pt idx="2">
                  <c:v>-3.0833096239005897</c:v>
                </c:pt>
                <c:pt idx="3">
                  <c:v>-6.7951347627146959</c:v>
                </c:pt>
                <c:pt idx="4">
                  <c:v>-11.735006274775742</c:v>
                </c:pt>
                <c:pt idx="5">
                  <c:v>-17.666340898014312</c:v>
                </c:pt>
                <c:pt idx="6">
                  <c:v>-24.313224924649262</c:v>
                </c:pt>
                <c:pt idx="7">
                  <c:v>-31.380151992100707</c:v>
                </c:pt>
                <c:pt idx="8">
                  <c:v>-38.573407831666628</c:v>
                </c:pt>
                <c:pt idx="9">
                  <c:v>-45.621492865701626</c:v>
                </c:pt>
                <c:pt idx="10">
                  <c:v>-52.291608081843165</c:v>
                </c:pt>
                <c:pt idx="11">
                  <c:v>-58.399732062771463</c:v>
                </c:pt>
                <c:pt idx="12">
                  <c:v>-63.813208902213518</c:v>
                </c:pt>
                <c:pt idx="13">
                  <c:v>-68.446542436582376</c:v>
                </c:pt>
                <c:pt idx="14">
                  <c:v>-72.252495777016264</c:v>
                </c:pt>
                <c:pt idx="15">
                  <c:v>-75.211120620591146</c:v>
                </c:pt>
                <c:pt idx="16">
                  <c:v>-77.31900903467016</c:v>
                </c:pt>
                <c:pt idx="17">
                  <c:v>-78.580276683294045</c:v>
                </c:pt>
                <c:pt idx="18">
                  <c:v>-78.999999999903025</c:v>
                </c:pt>
                <c:pt idx="19">
                  <c:v>-78.580302219759787</c:v>
                </c:pt>
                <c:pt idx="20">
                  <c:v>-77.319060230193912</c:v>
                </c:pt>
                <c:pt idx="21">
                  <c:v>-75.211197641501599</c:v>
                </c:pt>
                <c:pt idx="22">
                  <c:v>-72.252598673950573</c:v>
                </c:pt>
                <c:pt idx="23">
                  <c:v>-68.4466709056165</c:v>
                </c:pt>
                <c:pt idx="24">
                  <c:v>-63.813361978884757</c:v>
                </c:pt>
                <c:pt idx="25">
                  <c:v>-58.399907782027256</c:v>
                </c:pt>
                <c:pt idx="26">
                  <c:v>-52.291803162749233</c:v>
                </c:pt>
                <c:pt idx="27">
                  <c:v>-45.621702499206975</c:v>
                </c:pt>
                <c:pt idx="28">
                  <c:v>-38.573625648182826</c:v>
                </c:pt>
                <c:pt idx="29">
                  <c:v>-31.380370255036581</c:v>
                </c:pt>
                <c:pt idx="30">
                  <c:v>-24.313434944021992</c:v>
                </c:pt>
                <c:pt idx="31">
                  <c:v>-17.666533606412145</c:v>
                </c:pt>
                <c:pt idx="32">
                  <c:v>-11.735172877865153</c:v>
                </c:pt>
                <c:pt idx="33">
                  <c:v>-6.7952673758072706</c:v>
                </c:pt>
                <c:pt idx="34">
                  <c:v>-3.0834018267382532</c:v>
                </c:pt>
                <c:pt idx="35">
                  <c:v>-0.78052221046306158</c:v>
                </c:pt>
                <c:pt idx="36">
                  <c:v>-7.2463990363758057E-10</c:v>
                </c:pt>
              </c:numCache>
            </c:numRef>
          </c:yVal>
          <c:smooth val="1"/>
        </c:ser>
        <c:ser>
          <c:idx val="1"/>
          <c:order val="1"/>
          <c:tx>
            <c:v>velocity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'Graph Data'!$A$8:$A$44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'Graph Data'!$I$8:$I$44</c:f>
              <c:numCache>
                <c:formatCode>0.00</c:formatCode>
                <c:ptCount val="37"/>
                <c:pt idx="0">
                  <c:v>1.2053451822986033E-4</c:v>
                </c:pt>
                <c:pt idx="1">
                  <c:v>-7.8624395409465038</c:v>
                </c:pt>
                <c:pt idx="2">
                  <c:v>-15.337382544607729</c:v>
                </c:pt>
                <c:pt idx="3">
                  <c:v>-22.061826459731638</c:v>
                </c:pt>
                <c:pt idx="4">
                  <c:v>-27.72157564501402</c:v>
                </c:pt>
                <c:pt idx="5">
                  <c:v>-32.074457557177475</c:v>
                </c:pt>
                <c:pt idx="6">
                  <c:v>-34.970218289920304</c:v>
                </c:pt>
                <c:pt idx="7">
                  <c:v>-36.363466412894283</c:v>
                </c:pt>
                <c:pt idx="8">
                  <c:v>-36.315419227682348</c:v>
                </c:pt>
                <c:pt idx="9">
                  <c:v>-34.981410637950169</c:v>
                </c:pt>
                <c:pt idx="10">
                  <c:v>-32.58450995252808</c:v>
                </c:pt>
                <c:pt idx="11">
                  <c:v>-29.380082091944399</c:v>
                </c:pt>
                <c:pt idx="12">
                  <c:v>-25.619366453217825</c:v>
                </c:pt>
                <c:pt idx="13">
                  <c:v>-21.520181530747006</c:v>
                </c:pt>
                <c:pt idx="14">
                  <c:v>-17.249674369222362</c:v>
                </c:pt>
                <c:pt idx="15">
                  <c:v>-12.919608807017433</c:v>
                </c:pt>
                <c:pt idx="16">
                  <c:v>-8.5913479598923939</c:v>
                </c:pt>
                <c:pt idx="17">
                  <c:v>-4.2865269613438075</c:v>
                </c:pt>
                <c:pt idx="18">
                  <c:v>-6.5117987642082653E-5</c:v>
                </c:pt>
                <c:pt idx="19">
                  <c:v>4.2863964127582372</c:v>
                </c:pt>
                <c:pt idx="20">
                  <c:v>8.59121667455838</c:v>
                </c:pt>
                <c:pt idx="21">
                  <c:v>12.919476968420517</c:v>
                </c:pt>
                <c:pt idx="22">
                  <c:v>17.249543176507004</c:v>
                </c:pt>
                <c:pt idx="23">
                  <c:v>21.520053572417829</c:v>
                </c:pt>
                <c:pt idx="24">
                  <c:v>25.619245965152572</c:v>
                </c:pt>
                <c:pt idx="25">
                  <c:v>29.379974981145587</c:v>
                </c:pt>
                <c:pt idx="26">
                  <c:v>32.58442347119172</c:v>
                </c:pt>
                <c:pt idx="27">
                  <c:v>34.981352662144332</c:v>
                </c:pt>
                <c:pt idx="28">
                  <c:v>36.315397222634509</c:v>
                </c:pt>
                <c:pt idx="29">
                  <c:v>36.36348629561013</c:v>
                </c:pt>
                <c:pt idx="30">
                  <c:v>34.970283453992316</c:v>
                </c:pt>
                <c:pt idx="31">
                  <c:v>32.074568268699934</c:v>
                </c:pt>
                <c:pt idx="32">
                  <c:v>27.721728888042431</c:v>
                </c:pt>
                <c:pt idx="33">
                  <c:v>22.062016180373593</c:v>
                </c:pt>
                <c:pt idx="34">
                  <c:v>15.337600171627731</c:v>
                </c:pt>
                <c:pt idx="35">
                  <c:v>7.862674656334713</c:v>
                </c:pt>
                <c:pt idx="36">
                  <c:v>1.2053451822986033E-4</c:v>
                </c:pt>
              </c:numCache>
            </c:numRef>
          </c:yVal>
          <c:smooth val="1"/>
        </c:ser>
        <c:ser>
          <c:idx val="2"/>
          <c:order val="2"/>
          <c:tx>
            <c:v>acceleration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'Graph Data'!$A$8:$A$44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'Graph Data'!$J$8:$J$44</c:f>
              <c:numCache>
                <c:formatCode>0.0</c:formatCode>
                <c:ptCount val="37"/>
                <c:pt idx="0">
                  <c:v>-40.099041203067102</c:v>
                </c:pt>
                <c:pt idx="1">
                  <c:v>-39.110632851771193</c:v>
                </c:pt>
                <c:pt idx="2">
                  <c:v>-36.208436642902086</c:v>
                </c:pt>
                <c:pt idx="3">
                  <c:v>-31.579692406036042</c:v>
                </c:pt>
                <c:pt idx="4">
                  <c:v>-25.53220929848689</c:v>
                </c:pt>
                <c:pt idx="5">
                  <c:v>-18.484038744511025</c:v>
                </c:pt>
                <c:pt idx="6">
                  <c:v>-10.93697258207786</c:v>
                </c:pt>
                <c:pt idx="7">
                  <c:v>-3.4302623912932129</c:v>
                </c:pt>
                <c:pt idx="8">
                  <c:v>3.5242422261074897</c:v>
                </c:pt>
                <c:pt idx="9">
                  <c:v>9.5138186516433834</c:v>
                </c:pt>
                <c:pt idx="10">
                  <c:v>14.283387792314715</c:v>
                </c:pt>
                <c:pt idx="11">
                  <c:v>17.761115923241153</c:v>
                </c:pt>
                <c:pt idx="12">
                  <c:v>20.042746431053352</c:v>
                </c:pt>
                <c:pt idx="13">
                  <c:v>21.342714814188433</c:v>
                </c:pt>
                <c:pt idx="14">
                  <c:v>21.931460445510414</c:v>
                </c:pt>
                <c:pt idx="15">
                  <c:v>22.078732343791419</c:v>
                </c:pt>
                <c:pt idx="16">
                  <c:v>22.014358706467743</c:v>
                </c:pt>
                <c:pt idx="17">
                  <c:v>21.907771246857116</c:v>
                </c:pt>
                <c:pt idx="18">
                  <c:v>21.860954603960209</c:v>
                </c:pt>
                <c:pt idx="19">
                  <c:v>21.907768570992353</c:v>
                </c:pt>
                <c:pt idx="20">
                  <c:v>22.014355416938816</c:v>
                </c:pt>
                <c:pt idx="21">
                  <c:v>22.078732579968989</c:v>
                </c:pt>
                <c:pt idx="22">
                  <c:v>21.931470340193147</c:v>
                </c:pt>
                <c:pt idx="23">
                  <c:v>21.342742111046203</c:v>
                </c:pt>
                <c:pt idx="24">
                  <c:v>20.042799592255779</c:v>
                </c:pt>
                <c:pt idx="25">
                  <c:v>17.761202640399823</c:v>
                </c:pt>
                <c:pt idx="26">
                  <c:v>14.283513086546799</c:v>
                </c:pt>
                <c:pt idx="27">
                  <c:v>9.5139830661791134</c:v>
                </c:pt>
                <c:pt idx="28">
                  <c:v>3.5244407653377863</c:v>
                </c:pt>
                <c:pt idx="29">
                  <c:v>-3.4300401100375919</c:v>
                </c:pt>
                <c:pt idx="30">
                  <c:v>-10.936740968620999</c:v>
                </c:pt>
                <c:pt idx="31">
                  <c:v>-18.483814143172207</c:v>
                </c:pt>
                <c:pt idx="32">
                  <c:v>-25.532007825232171</c:v>
                </c:pt>
                <c:pt idx="33">
                  <c:v>-31.579528226857484</c:v>
                </c:pt>
                <c:pt idx="34">
                  <c:v>-36.208320886299155</c:v>
                </c:pt>
                <c:pt idx="35">
                  <c:v>-39.110573074629222</c:v>
                </c:pt>
                <c:pt idx="36">
                  <c:v>-40.099041203067102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267136"/>
        <c:axId val="237852160"/>
      </c:scatterChart>
      <c:valAx>
        <c:axId val="232267136"/>
        <c:scaling>
          <c:orientation val="minMax"/>
          <c:max val="36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crank rotation (degrees)</a:t>
                </a:r>
              </a:p>
            </c:rich>
          </c:tx>
          <c:layout>
            <c:manualLayout>
              <c:xMode val="edge"/>
              <c:yMode val="edge"/>
              <c:x val="0.39297475301866081"/>
              <c:y val="0.939004815409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852160"/>
        <c:crosses val="autoZero"/>
        <c:crossBetween val="midCat"/>
        <c:majorUnit val="30"/>
      </c:valAx>
      <c:valAx>
        <c:axId val="2378521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piston diplacement, velocity, acceleration ( mm , m/sec , 
m/sec²/1000 )</a:t>
                </a:r>
              </a:p>
            </c:rich>
          </c:tx>
          <c:layout>
            <c:manualLayout>
              <c:xMode val="edge"/>
              <c:yMode val="edge"/>
              <c:x val="5.4884742041712408E-3"/>
              <c:y val="0.158908507223113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67136"/>
        <c:crosses val="autoZero"/>
        <c:crossBetween val="midCat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510428100987923"/>
          <c:y val="0.4173354735152488"/>
          <c:w val="0.99231613611416025"/>
          <c:h val="0.52006420545746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34</xdr:row>
      <xdr:rowOff>314325</xdr:rowOff>
    </xdr:from>
    <xdr:to>
      <xdr:col>23</xdr:col>
      <xdr:colOff>47625</xdr:colOff>
      <xdr:row>53</xdr:row>
      <xdr:rowOff>66675</xdr:rowOff>
    </xdr:to>
    <xdr:graphicFrame macro="">
      <xdr:nvGraphicFramePr>
        <xdr:cNvPr id="3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295275</xdr:colOff>
      <xdr:row>0</xdr:row>
      <xdr:rowOff>0</xdr:rowOff>
    </xdr:from>
    <xdr:to>
      <xdr:col>7</xdr:col>
      <xdr:colOff>1390650</xdr:colOff>
      <xdr:row>0</xdr:row>
      <xdr:rowOff>1714500</xdr:rowOff>
    </xdr:to>
    <xdr:pic>
      <xdr:nvPicPr>
        <xdr:cNvPr id="3143" name="Picture 3" descr="TechWorkslogo_gradien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0"/>
          <a:ext cx="64008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0.32717</cdr:x>
      <cdr:y>0.15012</cdr:y>
    </cdr:from>
    <cdr:to>
      <cdr:x>0.32717</cdr:x>
      <cdr:y>0.95259</cdr:y>
    </cdr:to>
    <cdr:sp macro="" textlink="">
      <cdr:nvSpPr>
        <cdr:cNvPr id="40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35908" y="835355"/>
          <a:ext cx="0" cy="44485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CA"/>
        </a:p>
      </cdr:txBody>
    </cdr:sp>
  </cdr:relSizeAnchor>
  <cdr:relSizeAnchor xmlns:cdr="http://schemas.openxmlformats.org/drawingml/2006/chartDrawing">
    <cdr:from>
      <cdr:x>0.54772</cdr:x>
      <cdr:y>0.15012</cdr:y>
    </cdr:from>
    <cdr:to>
      <cdr:x>0.54772</cdr:x>
      <cdr:y>0.95259</cdr:y>
    </cdr:to>
    <cdr:sp macro="" textlink="">
      <cdr:nvSpPr>
        <cdr:cNvPr id="4098" name="Freeform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745451" y="835355"/>
          <a:ext cx="0" cy="4448537"/>
        </a:xfrm>
        <a:custGeom xmlns:a="http://schemas.openxmlformats.org/drawingml/2006/main">
          <a:avLst/>
          <a:gdLst>
            <a:gd name="T0" fmla="*/ 0 w 12696"/>
            <a:gd name="T1" fmla="*/ 5979039 h 5979039"/>
            <a:gd name="T2" fmla="*/ 0 w 12696"/>
            <a:gd name="T3" fmla="*/ 2551564 h 5979039"/>
            <a:gd name="T4" fmla="*/ 12696 w 12696"/>
            <a:gd name="T5" fmla="*/ 0 h 597903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2696" h="5979039">
              <a:moveTo>
                <a:pt x="0" y="5979039"/>
              </a:moveTo>
              <a:lnTo>
                <a:pt x="0" y="2551564"/>
              </a:lnTo>
              <a:lnTo>
                <a:pt x="12696" y="0"/>
              </a:lnTo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003300" mc:Ignorable="a14" a14:legacySpreadsheetColorIndex="58"/>
        </a:solidFill>
        <a:ln xmlns:a="http://schemas.openxmlformats.org/drawingml/2006/main"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CA"/>
        </a:p>
      </cdr:txBody>
    </cdr:sp>
  </cdr:relSizeAnchor>
  <cdr:relSizeAnchor xmlns:cdr="http://schemas.openxmlformats.org/drawingml/2006/chartDrawing">
    <cdr:from>
      <cdr:x>0.7606</cdr:x>
      <cdr:y>0.15012</cdr:y>
    </cdr:from>
    <cdr:to>
      <cdr:x>0.76233</cdr:x>
      <cdr:y>0.95259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588631" y="835355"/>
          <a:ext cx="14986" cy="44485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CA"/>
        </a:p>
      </cdr:txBody>
    </cdr:sp>
  </cdr:relSizeAnchor>
  <cdr:relSizeAnchor xmlns:cdr="http://schemas.openxmlformats.org/drawingml/2006/chartDrawing">
    <cdr:from>
      <cdr:x>0.38132</cdr:x>
      <cdr:y>0.00859</cdr:y>
    </cdr:from>
    <cdr:to>
      <cdr:x>0.70472</cdr:x>
      <cdr:y>0.11351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731" y="50800"/>
          <a:ext cx="2800092" cy="58160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Piston Position, Velocity and Acceleration</a:t>
          </a:r>
        </a:p>
        <a:p xmlns:a="http://schemas.openxmlformats.org/drawingml/2006/main">
          <a:pPr algn="ctr" rtl="0">
            <a:defRPr sz="1000"/>
          </a:pPr>
          <a:r>
            <a:rPr lang="en-CA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vs. Crank Rotation Angle</a:t>
          </a:r>
        </a:p>
      </cdr:txBody>
    </cdr:sp>
  </cdr:relSizeAnchor>
  <cdr:relSizeAnchor xmlns:cdr="http://schemas.openxmlformats.org/drawingml/2006/chartDrawing">
    <cdr:from>
      <cdr:x>0.11528</cdr:x>
      <cdr:y>0.02825</cdr:y>
    </cdr:from>
    <cdr:to>
      <cdr:x>0.23989</cdr:x>
      <cdr:y>0.0624</cdr:y>
    </cdr:to>
    <cdr:sp macro="" textlink="">
      <cdr:nvSpPr>
        <cdr:cNvPr id="4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1290" y="159766"/>
          <a:ext cx="1078935" cy="189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vertOverflow="clip" wrap="square" lIns="27432" tIns="0" rIns="27432" bIns="22860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925" b="0" i="0" u="none" strike="noStrike" baseline="0">
              <a:solidFill>
                <a:srgbClr val="000000"/>
              </a:solidFill>
              <a:latin typeface="Arial"/>
              <a:cs typeface="Arial"/>
            </a:rPr>
            <a:t>origin @ TDC</a:t>
          </a:r>
        </a:p>
      </cdr:txBody>
    </cdr:sp>
  </cdr:relSizeAnchor>
  <cdr:relSizeAnchor xmlns:cdr="http://schemas.openxmlformats.org/drawingml/2006/chartDrawing">
    <cdr:from>
      <cdr:x>0.09575</cdr:x>
      <cdr:y>0.88354</cdr:y>
    </cdr:from>
    <cdr:to>
      <cdr:x>0.1536</cdr:x>
      <cdr:y>0.92703</cdr:y>
    </cdr:to>
    <cdr:sp macro="" textlink="">
      <cdr:nvSpPr>
        <cdr:cNvPr id="41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171" y="4901149"/>
          <a:ext cx="500935" cy="241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850" b="0" i="0" u="none" strike="noStrike" baseline="0">
              <a:solidFill>
                <a:srgbClr val="000000"/>
              </a:solidFill>
              <a:latin typeface="Arial Black"/>
            </a:rPr>
            <a:t>TDC</a:t>
          </a:r>
        </a:p>
      </cdr:txBody>
    </cdr:sp>
  </cdr:relSizeAnchor>
  <cdr:relSizeAnchor xmlns:cdr="http://schemas.openxmlformats.org/drawingml/2006/chartDrawing">
    <cdr:from>
      <cdr:x>0.92799</cdr:x>
      <cdr:y>0.88354</cdr:y>
    </cdr:from>
    <cdr:to>
      <cdr:x>0.98461</cdr:x>
      <cdr:y>0.92703</cdr:y>
    </cdr:to>
    <cdr:sp macro="" textlink="">
      <cdr:nvSpPr>
        <cdr:cNvPr id="41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915" y="4901149"/>
          <a:ext cx="490230" cy="241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850" b="0" i="0" u="none" strike="noStrike" baseline="0">
              <a:solidFill>
                <a:srgbClr val="000000"/>
              </a:solidFill>
              <a:latin typeface="Arial Black"/>
            </a:rPr>
            <a:t>TDC</a:t>
          </a:r>
        </a:p>
      </cdr:txBody>
    </cdr:sp>
  </cdr:relSizeAnchor>
  <cdr:relSizeAnchor xmlns:cdr="http://schemas.openxmlformats.org/drawingml/2006/chartDrawing">
    <cdr:from>
      <cdr:x>0.52201</cdr:x>
      <cdr:y>0.88526</cdr:y>
    </cdr:from>
    <cdr:to>
      <cdr:x>0.57813</cdr:x>
      <cdr:y>0.91647</cdr:y>
    </cdr:to>
    <cdr:sp macro="" textlink="">
      <cdr:nvSpPr>
        <cdr:cNvPr id="41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2814" y="4910684"/>
          <a:ext cx="485949" cy="17298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27432" bIns="27432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850" b="0" i="0" u="none" strike="noStrike" baseline="0">
              <a:solidFill>
                <a:srgbClr val="000000"/>
              </a:solidFill>
              <a:latin typeface="Arial Black"/>
            </a:rPr>
            <a:t>BDC</a:t>
          </a:r>
        </a:p>
      </cdr:txBody>
    </cdr:sp>
  </cdr:relSizeAnchor>
  <cdr:relSizeAnchor xmlns:cdr="http://schemas.openxmlformats.org/drawingml/2006/chartDrawing">
    <cdr:from>
      <cdr:x>0.90475</cdr:x>
      <cdr:y>0.1909</cdr:y>
    </cdr:from>
    <cdr:to>
      <cdr:x>0.90821</cdr:x>
      <cdr:y>0.19926</cdr:y>
    </cdr:to>
    <cdr:sp macro="" textlink="">
      <cdr:nvSpPr>
        <cdr:cNvPr id="41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6685" y="1061460"/>
          <a:ext cx="29970" cy="46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C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342900</xdr:colOff>
      <xdr:row>44</xdr:row>
      <xdr:rowOff>28575</xdr:rowOff>
    </xdr:to>
    <xdr:pic>
      <xdr:nvPicPr>
        <xdr:cNvPr id="235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81975" cy="7153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142875</xdr:colOff>
      <xdr:row>36</xdr:row>
      <xdr:rowOff>104775</xdr:rowOff>
    </xdr:to>
    <xdr:graphicFrame macro="">
      <xdr:nvGraphicFramePr>
        <xdr:cNvPr id="10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0.2698</cdr:x>
      <cdr:y>0.04221</cdr:y>
    </cdr:from>
    <cdr:to>
      <cdr:x>0.2698</cdr:x>
      <cdr:y>0.88842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46892" y="254030"/>
          <a:ext cx="0" cy="5029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CA"/>
        </a:p>
      </cdr:txBody>
    </cdr:sp>
  </cdr:relSizeAnchor>
  <cdr:relSizeAnchor xmlns:cdr="http://schemas.openxmlformats.org/drawingml/2006/chartDrawing">
    <cdr:from>
      <cdr:x>0.45747</cdr:x>
      <cdr:y>0.04221</cdr:y>
    </cdr:from>
    <cdr:to>
      <cdr:x>0.45821</cdr:x>
      <cdr:y>0.88842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977138" y="254030"/>
          <a:ext cx="6444" cy="5029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CA"/>
        </a:p>
      </cdr:txBody>
    </cdr:sp>
  </cdr:relSizeAnchor>
  <cdr:relSizeAnchor xmlns:cdr="http://schemas.openxmlformats.org/drawingml/2006/chartDrawing">
    <cdr:from>
      <cdr:x>0.64687</cdr:x>
      <cdr:y>0.04221</cdr:y>
    </cdr:from>
    <cdr:to>
      <cdr:x>0.64761</cdr:x>
      <cdr:y>0.88842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22420" y="254030"/>
          <a:ext cx="6444" cy="5029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CA"/>
        </a:p>
      </cdr:txBody>
    </cdr:sp>
  </cdr:relSizeAnchor>
  <cdr:relSizeAnchor xmlns:cdr="http://schemas.openxmlformats.org/drawingml/2006/chartDrawing">
    <cdr:from>
      <cdr:x>0.29379</cdr:x>
      <cdr:y>0.02277</cdr:y>
    </cdr:from>
    <cdr:to>
      <cdr:x>0.61621</cdr:x>
      <cdr:y>0.08525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5237" y="138525"/>
          <a:ext cx="2800845" cy="37137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Piston Position, Velocity and Acceleration</a:t>
          </a:r>
        </a:p>
        <a:p xmlns:a="http://schemas.openxmlformats.org/drawingml/2006/main">
          <a:pPr algn="ctr" rtl="0">
            <a:defRPr sz="1000"/>
          </a:pPr>
          <a:r>
            <a:rPr lang="en-CA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vs. Crank Rotation Angle</a:t>
          </a:r>
        </a:p>
      </cdr:txBody>
    </cdr:sp>
  </cdr:relSizeAnchor>
  <cdr:relSizeAnchor xmlns:cdr="http://schemas.openxmlformats.org/drawingml/2006/chartDrawing">
    <cdr:from>
      <cdr:x>0.85581</cdr:x>
      <cdr:y>0.38069</cdr:y>
    </cdr:from>
    <cdr:to>
      <cdr:x>0.99106</cdr:x>
      <cdr:y>0.41587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7385" y="2265863"/>
          <a:ext cx="1174895" cy="209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vertOverflow="clip" wrap="square" lIns="27432" tIns="0" rIns="27432" bIns="22860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origin @ TDC</a:t>
          </a:r>
        </a:p>
      </cdr:txBody>
    </cdr:sp>
  </cdr:relSizeAnchor>
  <cdr:relSizeAnchor xmlns:cdr="http://schemas.openxmlformats.org/drawingml/2006/chartDrawing">
    <cdr:from>
      <cdr:x>0.07669</cdr:x>
      <cdr:y>0.85251</cdr:y>
    </cdr:from>
    <cdr:to>
      <cdr:x>0.12961</cdr:x>
      <cdr:y>0.8963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92" y="5070146"/>
          <a:ext cx="459648" cy="260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900" b="0" i="0" u="none" strike="noStrike" baseline="0">
              <a:solidFill>
                <a:srgbClr val="000000"/>
              </a:solidFill>
              <a:latin typeface="Arial Black"/>
            </a:rPr>
            <a:t>TDC</a:t>
          </a:r>
        </a:p>
      </cdr:txBody>
    </cdr:sp>
  </cdr:relSizeAnchor>
  <cdr:relSizeAnchor xmlns:cdr="http://schemas.openxmlformats.org/drawingml/2006/chartDrawing">
    <cdr:from>
      <cdr:x>0.79053</cdr:x>
      <cdr:y>0.85054</cdr:y>
    </cdr:from>
    <cdr:to>
      <cdr:x>0.84592</cdr:x>
      <cdr:y>0.89457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0343" y="5058450"/>
          <a:ext cx="481127" cy="2617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900" b="0" i="0" u="none" strike="noStrike" baseline="0">
              <a:solidFill>
                <a:srgbClr val="000000"/>
              </a:solidFill>
              <a:latin typeface="Arial Black"/>
            </a:rPr>
            <a:t>TDC</a:t>
          </a:r>
        </a:p>
      </cdr:txBody>
    </cdr:sp>
  </cdr:relSizeAnchor>
  <cdr:relSizeAnchor xmlns:cdr="http://schemas.openxmlformats.org/drawingml/2006/chartDrawing">
    <cdr:from>
      <cdr:x>0.43324</cdr:x>
      <cdr:y>0.85595</cdr:y>
    </cdr:from>
    <cdr:to>
      <cdr:x>0.48764</cdr:x>
      <cdr:y>0.88842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6645" y="5090616"/>
          <a:ext cx="472536" cy="19299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27432" bIns="32004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900" b="0" i="0" u="none" strike="noStrike" baseline="0">
              <a:solidFill>
                <a:srgbClr val="000000"/>
              </a:solidFill>
              <a:latin typeface="Arial Black"/>
            </a:rPr>
            <a:t>BDC</a:t>
          </a:r>
        </a:p>
      </cdr:txBody>
    </cdr:sp>
  </cdr:relSizeAnchor>
  <cdr:relSizeAnchor xmlns:cdr="http://schemas.openxmlformats.org/drawingml/2006/chartDrawing">
    <cdr:from>
      <cdr:x>0.89141</cdr:x>
      <cdr:y>0.20358</cdr:y>
    </cdr:from>
    <cdr:to>
      <cdr:x>0.8971</cdr:x>
      <cdr:y>0.21243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6681" y="1213160"/>
          <a:ext cx="49401" cy="52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CA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Y51"/>
  <sheetViews>
    <sheetView tabSelected="1" topLeftCell="A4" zoomScale="74" zoomScaleNormal="75" workbookViewId="0">
      <selection activeCell="D16" sqref="D16"/>
    </sheetView>
  </sheetViews>
  <sheetFormatPr defaultRowHeight="12.75" x14ac:dyDescent="0.2"/>
  <cols>
    <col min="1" max="1" width="28.140625" customWidth="1"/>
    <col min="2" max="2" width="12.42578125" customWidth="1"/>
    <col min="3" max="3" width="12.85546875" customWidth="1"/>
    <col min="4" max="4" width="22.7109375" customWidth="1"/>
    <col min="5" max="5" width="8.7109375" customWidth="1"/>
    <col min="6" max="6" width="9.5703125" customWidth="1"/>
    <col min="7" max="7" width="13.28515625" customWidth="1"/>
    <col min="8" max="8" width="34.28515625" customWidth="1"/>
    <col min="9" max="9" width="15.85546875" customWidth="1"/>
    <col min="10" max="10" width="15" customWidth="1"/>
    <col min="11" max="11" width="11.7109375" customWidth="1"/>
    <col min="12" max="12" width="6.85546875" customWidth="1"/>
    <col min="13" max="13" width="7.5703125" customWidth="1"/>
    <col min="14" max="14" width="14.28515625" customWidth="1"/>
    <col min="15" max="15" width="13.85546875" customWidth="1"/>
    <col min="16" max="16" width="11.85546875" customWidth="1"/>
    <col min="17" max="17" width="11.5703125" customWidth="1"/>
    <col min="18" max="18" width="13.7109375" customWidth="1"/>
    <col min="19" max="19" width="12.85546875" customWidth="1"/>
    <col min="23" max="23" width="9" customWidth="1"/>
    <col min="24" max="24" width="14.7109375" customWidth="1"/>
    <col min="27" max="27" width="12.5703125" customWidth="1"/>
  </cols>
  <sheetData>
    <row r="1" spans="1:25" ht="137.25" customHeight="1" x14ac:dyDescent="0.2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</row>
    <row r="2" spans="1:25" ht="45.75" customHeight="1" thickBot="1" x14ac:dyDescent="0.4">
      <c r="A2" s="192" t="s">
        <v>70</v>
      </c>
      <c r="B2" s="125"/>
      <c r="C2" s="125"/>
      <c r="D2" s="125"/>
      <c r="E2" s="125"/>
      <c r="F2" s="125"/>
      <c r="G2" s="125"/>
      <c r="P2" s="140" t="s">
        <v>72</v>
      </c>
    </row>
    <row r="3" spans="1:25" ht="27" customHeight="1" thickTop="1" x14ac:dyDescent="0.3">
      <c r="A3" s="110" t="s">
        <v>0</v>
      </c>
      <c r="B3" s="1"/>
      <c r="C3" s="2"/>
      <c r="D3" s="3"/>
      <c r="E3" s="4"/>
      <c r="F3" s="4"/>
      <c r="G3" s="214" t="s">
        <v>3</v>
      </c>
      <c r="H3" s="112" t="s">
        <v>62</v>
      </c>
      <c r="I3" s="5"/>
      <c r="J3" s="5"/>
      <c r="K3" s="5"/>
      <c r="L3" s="6"/>
      <c r="M3" s="5"/>
      <c r="N3" s="5"/>
      <c r="O3" s="5"/>
      <c r="P3" s="5"/>
      <c r="Q3" s="5"/>
      <c r="R3" s="6"/>
      <c r="S3" s="89"/>
      <c r="T3" s="5"/>
      <c r="U3" s="89"/>
      <c r="V3" s="89"/>
      <c r="W3" s="89"/>
      <c r="X3" s="7"/>
    </row>
    <row r="4" spans="1:25" ht="66" customHeight="1" thickBot="1" x14ac:dyDescent="0.3">
      <c r="A4" s="8" t="s">
        <v>1</v>
      </c>
      <c r="B4" s="93">
        <v>8</v>
      </c>
      <c r="C4" s="9"/>
      <c r="D4" s="10" t="s">
        <v>2</v>
      </c>
      <c r="E4" s="11"/>
      <c r="F4" s="11"/>
      <c r="G4" s="215"/>
      <c r="H4" s="12"/>
      <c r="I4" s="13" t="s">
        <v>57</v>
      </c>
      <c r="J4" s="13" t="s">
        <v>96</v>
      </c>
      <c r="K4" s="91" t="s">
        <v>4</v>
      </c>
      <c r="L4" s="14" t="s">
        <v>5</v>
      </c>
      <c r="M4" s="15" t="s">
        <v>6</v>
      </c>
      <c r="N4" s="13" t="s">
        <v>58</v>
      </c>
      <c r="O4" s="13" t="s">
        <v>68</v>
      </c>
      <c r="P4" s="13" t="s">
        <v>7</v>
      </c>
      <c r="Q4" s="13" t="s">
        <v>67</v>
      </c>
      <c r="R4" s="167" t="s">
        <v>56</v>
      </c>
      <c r="S4" s="92" t="s">
        <v>59</v>
      </c>
      <c r="T4" s="13" t="s">
        <v>54</v>
      </c>
      <c r="U4" s="13" t="s">
        <v>61</v>
      </c>
      <c r="V4" s="222" t="s">
        <v>64</v>
      </c>
      <c r="W4" s="223"/>
      <c r="X4" s="175" t="s">
        <v>55</v>
      </c>
      <c r="Y4" s="176"/>
    </row>
    <row r="5" spans="1:25" ht="20.25" x14ac:dyDescent="0.25">
      <c r="A5" s="16" t="s">
        <v>5</v>
      </c>
      <c r="B5" s="17">
        <f ca="1">LOOKUP($B$4,$G$5:$G$35,$L$5:$L$34)</f>
        <v>99.5</v>
      </c>
      <c r="C5" s="18"/>
      <c r="D5" s="19">
        <f t="shared" ref="D5:D10" ca="1" si="0">B5/25.4</f>
        <v>3.9173228346456694</v>
      </c>
      <c r="E5" s="20"/>
      <c r="F5" s="20"/>
      <c r="G5" s="94">
        <v>0</v>
      </c>
      <c r="H5" s="196" t="s">
        <v>49</v>
      </c>
      <c r="I5" s="21">
        <v>39.299999999999997</v>
      </c>
      <c r="J5" s="21">
        <v>18.8</v>
      </c>
      <c r="K5" s="85">
        <f>I5+J5</f>
        <v>58.099999999999994</v>
      </c>
      <c r="L5" s="86">
        <v>92</v>
      </c>
      <c r="M5" s="87">
        <v>67</v>
      </c>
      <c r="N5" s="25">
        <f t="shared" ref="N5:N34" si="1">-X5+M5/2+R5+T5</f>
        <v>0.5</v>
      </c>
      <c r="O5" s="121">
        <f>N5/25.4</f>
        <v>1.968503937007874E-2</v>
      </c>
      <c r="P5" s="25">
        <v>1.5</v>
      </c>
      <c r="Q5" s="171">
        <v>5.8999999999999997E-2</v>
      </c>
      <c r="R5" s="168">
        <v>33</v>
      </c>
      <c r="S5" s="119">
        <f>R5/25.4</f>
        <v>1.299212598425197</v>
      </c>
      <c r="T5" s="90">
        <v>117</v>
      </c>
      <c r="U5" s="111">
        <f>T5/25.4</f>
        <v>4.6062992125984259</v>
      </c>
      <c r="V5" s="113"/>
      <c r="W5" s="113"/>
      <c r="X5" s="183">
        <f>183-$C$23*25.4</f>
        <v>183</v>
      </c>
      <c r="Y5" s="176"/>
    </row>
    <row r="6" spans="1:25" ht="20.25" x14ac:dyDescent="0.25">
      <c r="A6" s="16" t="s">
        <v>6</v>
      </c>
      <c r="B6" s="26">
        <f ca="1">LOOKUP($B$4,$G$5:$G$35,$M$5:$M$34)</f>
        <v>79</v>
      </c>
      <c r="C6" s="18"/>
      <c r="D6" s="19">
        <f t="shared" ca="1" si="0"/>
        <v>3.1102362204724412</v>
      </c>
      <c r="E6" s="20"/>
      <c r="F6" s="20"/>
      <c r="G6" s="94">
        <v>1</v>
      </c>
      <c r="H6" s="196" t="s">
        <v>101</v>
      </c>
      <c r="I6" s="21">
        <v>45.2</v>
      </c>
      <c r="J6" s="21">
        <v>13.8</v>
      </c>
      <c r="K6" s="85">
        <f>I6+J6</f>
        <v>59</v>
      </c>
      <c r="L6" s="86">
        <v>92</v>
      </c>
      <c r="M6" s="87">
        <v>75</v>
      </c>
      <c r="N6" s="25">
        <f t="shared" si="1"/>
        <v>0.5</v>
      </c>
      <c r="O6" s="121">
        <f>N6/25.4</f>
        <v>1.968503937007874E-2</v>
      </c>
      <c r="P6" s="25">
        <v>1.5</v>
      </c>
      <c r="Q6" s="171">
        <v>5.8999999999999997E-2</v>
      </c>
      <c r="R6" s="168">
        <v>33.5</v>
      </c>
      <c r="S6" s="119">
        <f>R6/25.4</f>
        <v>1.3188976377952757</v>
      </c>
      <c r="T6" s="90">
        <v>130.5</v>
      </c>
      <c r="U6" s="111">
        <f t="shared" ref="U6:U34" si="2">T6/25.4</f>
        <v>5.1377952755905518</v>
      </c>
      <c r="V6" s="113"/>
      <c r="W6" s="113"/>
      <c r="X6" s="183">
        <f t="shared" ref="X6:X33" si="3">201-$C$23*25.4</f>
        <v>201</v>
      </c>
      <c r="Y6" s="176"/>
    </row>
    <row r="7" spans="1:25" ht="20.25" x14ac:dyDescent="0.25">
      <c r="A7" s="16" t="s">
        <v>9</v>
      </c>
      <c r="B7" s="27">
        <f ca="1">LOOKUP($B$4,$G$5:$G$35,$P$5:$P$34)</f>
        <v>0.66039999999999999</v>
      </c>
      <c r="C7" s="96">
        <f ca="1">(B8/10)^2*PI()/4*(B7/10)</f>
        <v>5.2387668350242933</v>
      </c>
      <c r="D7" s="28">
        <f ca="1">B7/25.4</f>
        <v>2.6000000000000002E-2</v>
      </c>
      <c r="E7" s="20"/>
      <c r="F7" s="20"/>
      <c r="G7" s="95">
        <v>2</v>
      </c>
      <c r="H7" s="197" t="s">
        <v>93</v>
      </c>
      <c r="I7" s="21">
        <f>49.4-$E$23</f>
        <v>49.4</v>
      </c>
      <c r="J7" s="21">
        <v>13</v>
      </c>
      <c r="K7" s="85">
        <f>I7+J7-E23</f>
        <v>62.4</v>
      </c>
      <c r="L7" s="86">
        <v>92</v>
      </c>
      <c r="M7" s="87">
        <v>75</v>
      </c>
      <c r="N7" s="25">
        <f t="shared" si="1"/>
        <v>-0.40000000000000568</v>
      </c>
      <c r="O7" s="121">
        <f t="shared" ref="O7:O34" si="4">N7/25.4</f>
        <v>-1.5748031496063217E-2</v>
      </c>
      <c r="P7" s="139">
        <v>0.5</v>
      </c>
      <c r="Q7" s="171">
        <v>0.02</v>
      </c>
      <c r="R7" s="168">
        <v>32.6</v>
      </c>
      <c r="S7" s="119">
        <f t="shared" ref="S7:S33" si="5">R7/25.4</f>
        <v>1.283464566929134</v>
      </c>
      <c r="T7" s="90">
        <v>130.5</v>
      </c>
      <c r="U7" s="111">
        <f t="shared" si="2"/>
        <v>5.1377952755905518</v>
      </c>
      <c r="V7" s="113"/>
      <c r="W7" s="113"/>
      <c r="X7" s="183">
        <f t="shared" si="3"/>
        <v>201</v>
      </c>
      <c r="Y7" s="176"/>
    </row>
    <row r="8" spans="1:25" ht="20.25" x14ac:dyDescent="0.25">
      <c r="A8" s="16" t="s">
        <v>10</v>
      </c>
      <c r="B8" s="29">
        <f ca="1">B5+1</f>
        <v>100.5</v>
      </c>
      <c r="C8" s="30"/>
      <c r="D8" s="31">
        <f t="shared" ca="1" si="0"/>
        <v>3.9566929133858268</v>
      </c>
      <c r="E8" s="20"/>
      <c r="F8" s="20"/>
      <c r="G8" s="95">
        <v>3</v>
      </c>
      <c r="H8" s="196" t="s">
        <v>102</v>
      </c>
      <c r="I8" s="21">
        <v>45.2</v>
      </c>
      <c r="J8" s="21">
        <v>17.2</v>
      </c>
      <c r="K8" s="85">
        <f>I8+J8-E22</f>
        <v>62.400000000000006</v>
      </c>
      <c r="L8" s="86">
        <v>92</v>
      </c>
      <c r="M8" s="87">
        <v>75</v>
      </c>
      <c r="N8" s="25">
        <f t="shared" si="1"/>
        <v>0.30000000000001137</v>
      </c>
      <c r="O8" s="121">
        <f t="shared" si="4"/>
        <v>1.1811023622047691E-2</v>
      </c>
      <c r="P8" s="25">
        <f>Q8*25.4</f>
        <v>1.4985999999999999</v>
      </c>
      <c r="Q8" s="171">
        <v>5.8999999999999997E-2</v>
      </c>
      <c r="R8" s="168">
        <v>33.299999999999997</v>
      </c>
      <c r="S8" s="119">
        <f t="shared" si="5"/>
        <v>1.311023622047244</v>
      </c>
      <c r="T8" s="90">
        <v>130.5</v>
      </c>
      <c r="U8" s="111">
        <f t="shared" si="2"/>
        <v>5.1377952755905518</v>
      </c>
      <c r="V8" s="113">
        <v>104.7</v>
      </c>
      <c r="W8" s="113">
        <v>104.45</v>
      </c>
      <c r="X8" s="183">
        <f t="shared" si="3"/>
        <v>201</v>
      </c>
      <c r="Y8" s="176"/>
    </row>
    <row r="9" spans="1:25" ht="22.5" customHeight="1" x14ac:dyDescent="0.25">
      <c r="A9" s="16" t="s">
        <v>11</v>
      </c>
      <c r="B9" s="32">
        <f ca="1">LOOKUP($B$4,$G$5:$G$35,$N$5:$N$34)</f>
        <v>-0.30000000000001137</v>
      </c>
      <c r="C9" s="97">
        <f ca="1">B9*3.1459*B5*B5/4/1000</f>
        <v>-2.3358897356250887</v>
      </c>
      <c r="D9" s="28">
        <f t="shared" ca="1" si="0"/>
        <v>-1.1811023622047691E-2</v>
      </c>
      <c r="E9" s="20"/>
      <c r="F9" s="20"/>
      <c r="G9" s="95">
        <v>4</v>
      </c>
      <c r="H9" s="196" t="s">
        <v>92</v>
      </c>
      <c r="I9" s="21">
        <v>48.9</v>
      </c>
      <c r="J9" s="21">
        <v>7.2</v>
      </c>
      <c r="K9" s="85">
        <f>I9+J9-E23</f>
        <v>56.1</v>
      </c>
      <c r="L9" s="86">
        <v>92</v>
      </c>
      <c r="M9" s="87">
        <v>75</v>
      </c>
      <c r="N9" s="25">
        <f t="shared" si="1"/>
        <v>-1.5</v>
      </c>
      <c r="O9" s="121">
        <f t="shared" si="4"/>
        <v>-5.9055118110236227E-2</v>
      </c>
      <c r="P9" s="25">
        <f>Q9*25.4</f>
        <v>0.50800000000000001</v>
      </c>
      <c r="Q9" s="171">
        <v>0.02</v>
      </c>
      <c r="R9" s="168">
        <v>31.5</v>
      </c>
      <c r="S9" s="119">
        <f t="shared" si="5"/>
        <v>1.2401574803149606</v>
      </c>
      <c r="T9" s="90">
        <v>130.5</v>
      </c>
      <c r="U9" s="111">
        <f t="shared" si="2"/>
        <v>5.1377952755905518</v>
      </c>
      <c r="V9" s="113"/>
      <c r="W9" s="113"/>
      <c r="X9" s="183">
        <f t="shared" si="3"/>
        <v>201</v>
      </c>
      <c r="Y9" s="176"/>
    </row>
    <row r="10" spans="1:25" ht="29.25" customHeight="1" x14ac:dyDescent="0.25">
      <c r="A10" s="142" t="s">
        <v>75</v>
      </c>
      <c r="B10" s="33">
        <f ca="1">LOOKUP($B$4,$G$5:$G$35,K$5:K$34)</f>
        <v>62.599999999999994</v>
      </c>
      <c r="C10" s="30"/>
      <c r="D10" s="34">
        <f t="shared" ca="1" si="0"/>
        <v>2.4645669291338583</v>
      </c>
      <c r="E10" s="20"/>
      <c r="F10" s="20"/>
      <c r="G10" s="95">
        <v>5</v>
      </c>
      <c r="H10" s="196" t="s">
        <v>111</v>
      </c>
      <c r="I10" s="21">
        <v>45.2</v>
      </c>
      <c r="J10" s="21">
        <v>7.8</v>
      </c>
      <c r="K10" s="85">
        <f>I10+J10-E24</f>
        <v>53</v>
      </c>
      <c r="L10" s="86">
        <v>92</v>
      </c>
      <c r="M10" s="87">
        <v>75</v>
      </c>
      <c r="N10" s="25">
        <f t="shared" si="1"/>
        <v>0.30000000000001137</v>
      </c>
      <c r="O10" s="121">
        <f t="shared" si="4"/>
        <v>1.1811023622047691E-2</v>
      </c>
      <c r="P10" s="25">
        <f>Q10*25.4</f>
        <v>1.4985999999999999</v>
      </c>
      <c r="Q10" s="171">
        <v>5.8999999999999997E-2</v>
      </c>
      <c r="R10" s="168">
        <v>33.299999999999997</v>
      </c>
      <c r="S10" s="119">
        <f t="shared" si="5"/>
        <v>1.311023622047244</v>
      </c>
      <c r="T10" s="90">
        <v>130.5</v>
      </c>
      <c r="U10" s="111">
        <f t="shared" si="2"/>
        <v>5.1377952755905518</v>
      </c>
      <c r="V10" s="113"/>
      <c r="W10" s="113"/>
      <c r="X10" s="183">
        <f t="shared" si="3"/>
        <v>201</v>
      </c>
      <c r="Y10" s="176"/>
    </row>
    <row r="11" spans="1:25" ht="24.75" customHeight="1" x14ac:dyDescent="0.3">
      <c r="A11" s="143" t="s">
        <v>12</v>
      </c>
      <c r="B11" s="35">
        <f ca="1">(B12+B10+B37-C9+C7)/(B10+B37-C9+C7)</f>
        <v>9.7535222147961704</v>
      </c>
      <c r="C11" s="30"/>
      <c r="D11" s="36"/>
      <c r="E11" s="20"/>
      <c r="F11" s="20"/>
      <c r="G11" s="95">
        <v>6</v>
      </c>
      <c r="H11" s="198" t="s">
        <v>8</v>
      </c>
      <c r="I11" s="21">
        <v>40</v>
      </c>
      <c r="J11" s="21">
        <v>28</v>
      </c>
      <c r="K11" s="22">
        <f>I11+J11</f>
        <v>68</v>
      </c>
      <c r="L11" s="23">
        <v>97</v>
      </c>
      <c r="M11" s="24">
        <v>75</v>
      </c>
      <c r="N11" s="25">
        <f t="shared" si="1"/>
        <v>0.30000000000001137</v>
      </c>
      <c r="O11" s="121">
        <f t="shared" si="4"/>
        <v>1.1811023622047691E-2</v>
      </c>
      <c r="P11" s="25">
        <f t="shared" ref="P11:P22" si="6">Q11*25.4</f>
        <v>1.4985999999999999</v>
      </c>
      <c r="Q11" s="171">
        <v>5.8999999999999997E-2</v>
      </c>
      <c r="R11" s="168">
        <v>33.299999999999997</v>
      </c>
      <c r="S11" s="119">
        <f t="shared" si="5"/>
        <v>1.311023622047244</v>
      </c>
      <c r="T11" s="90">
        <v>130.5</v>
      </c>
      <c r="U11" s="111">
        <f t="shared" si="2"/>
        <v>5.1377952755905518</v>
      </c>
      <c r="V11" s="113"/>
      <c r="W11" s="113"/>
      <c r="X11" s="183">
        <f t="shared" si="3"/>
        <v>201</v>
      </c>
      <c r="Y11" s="176"/>
    </row>
    <row r="12" spans="1:25" ht="27" customHeight="1" x14ac:dyDescent="0.3">
      <c r="A12" s="16" t="s">
        <v>13</v>
      </c>
      <c r="B12" s="159">
        <f ca="1">B5^2*PI()/4*B6/1000</f>
        <v>614.27541520687134</v>
      </c>
      <c r="C12" s="30"/>
      <c r="D12" s="106">
        <f ca="1">D5^2/4*PI()*D6</f>
        <v>37.485385741269546</v>
      </c>
      <c r="E12" s="20"/>
      <c r="F12" s="20"/>
      <c r="G12" s="95">
        <v>7</v>
      </c>
      <c r="H12" s="198" t="s">
        <v>108</v>
      </c>
      <c r="I12" s="114">
        <f>50-$E$21</f>
        <v>50</v>
      </c>
      <c r="J12" s="21">
        <v>11.2</v>
      </c>
      <c r="K12" s="22">
        <f>I12+J12-E21</f>
        <v>61.2</v>
      </c>
      <c r="L12" s="23">
        <v>99.5</v>
      </c>
      <c r="M12" s="24">
        <v>79</v>
      </c>
      <c r="N12" s="25">
        <f t="shared" si="1"/>
        <v>-0.40000000000000568</v>
      </c>
      <c r="O12" s="121">
        <f t="shared" si="4"/>
        <v>-1.5748031496063217E-2</v>
      </c>
      <c r="P12" s="25">
        <f t="shared" si="6"/>
        <v>0.66039999999999999</v>
      </c>
      <c r="Q12" s="171">
        <v>2.5999999999999999E-2</v>
      </c>
      <c r="R12" s="168">
        <v>29.5</v>
      </c>
      <c r="S12" s="119">
        <f t="shared" si="5"/>
        <v>1.1614173228346458</v>
      </c>
      <c r="T12" s="90">
        <v>131.6</v>
      </c>
      <c r="U12" s="111">
        <f t="shared" si="2"/>
        <v>5.1811023622047241</v>
      </c>
      <c r="V12" s="113">
        <v>121.7</v>
      </c>
      <c r="W12" s="113">
        <v>120.7</v>
      </c>
      <c r="X12" s="183">
        <f t="shared" si="3"/>
        <v>201</v>
      </c>
      <c r="Y12" s="176"/>
    </row>
    <row r="13" spans="1:25" ht="27" customHeight="1" x14ac:dyDescent="0.25">
      <c r="A13" s="16" t="s">
        <v>66</v>
      </c>
      <c r="B13" s="40">
        <f ca="1">B14*B12</f>
        <v>2457.1016608274854</v>
      </c>
      <c r="C13" s="41"/>
      <c r="D13" s="42">
        <f ca="1">D12*B14</f>
        <v>149.94154296507818</v>
      </c>
      <c r="E13" s="20"/>
      <c r="F13" s="20"/>
      <c r="G13" s="95">
        <v>8</v>
      </c>
      <c r="H13" s="198" t="s">
        <v>109</v>
      </c>
      <c r="I13" s="114">
        <v>53.9</v>
      </c>
      <c r="J13" s="21">
        <v>8.6999999999999993</v>
      </c>
      <c r="K13" s="22">
        <f>I13+J13-E22</f>
        <v>62.599999999999994</v>
      </c>
      <c r="L13" s="23">
        <v>99.5</v>
      </c>
      <c r="M13" s="24">
        <v>79</v>
      </c>
      <c r="N13" s="25">
        <f t="shared" si="1"/>
        <v>-0.30000000000001137</v>
      </c>
      <c r="O13" s="121">
        <f t="shared" si="4"/>
        <v>-1.1811023622047691E-2</v>
      </c>
      <c r="P13" s="25">
        <f t="shared" si="6"/>
        <v>0.66039999999999999</v>
      </c>
      <c r="Q13" s="171">
        <v>2.5999999999999999E-2</v>
      </c>
      <c r="R13" s="168">
        <v>30.7</v>
      </c>
      <c r="S13" s="119">
        <f t="shared" si="5"/>
        <v>1.2086614173228347</v>
      </c>
      <c r="T13" s="90">
        <v>130.5</v>
      </c>
      <c r="U13" s="111">
        <f t="shared" si="2"/>
        <v>5.1377952755905518</v>
      </c>
      <c r="V13" s="113"/>
      <c r="W13" s="113"/>
      <c r="X13" s="183">
        <f t="shared" si="3"/>
        <v>201</v>
      </c>
      <c r="Y13" s="176"/>
    </row>
    <row r="14" spans="1:25" ht="30" customHeight="1" thickBot="1" x14ac:dyDescent="0.4">
      <c r="A14" s="108" t="s">
        <v>14</v>
      </c>
      <c r="B14" s="45">
        <v>4</v>
      </c>
      <c r="C14" s="46"/>
      <c r="D14" s="141">
        <f>B14</f>
        <v>4</v>
      </c>
      <c r="E14" s="20"/>
      <c r="F14" s="20"/>
      <c r="G14" s="95">
        <v>9</v>
      </c>
      <c r="H14" s="198" t="s">
        <v>112</v>
      </c>
      <c r="I14" s="21">
        <v>45.2</v>
      </c>
      <c r="J14" s="21">
        <v>15.1</v>
      </c>
      <c r="K14" s="22">
        <f>I14+J14-E22</f>
        <v>60.300000000000004</v>
      </c>
      <c r="L14" s="23">
        <v>99.5</v>
      </c>
      <c r="M14" s="24">
        <v>79</v>
      </c>
      <c r="N14" s="25">
        <f t="shared" si="1"/>
        <v>5.0000000000011369E-2</v>
      </c>
      <c r="O14" s="121">
        <f t="shared" si="4"/>
        <v>1.9685039370083215E-3</v>
      </c>
      <c r="P14" s="25">
        <f t="shared" si="6"/>
        <v>1.2953999999999999</v>
      </c>
      <c r="Q14" s="171">
        <v>5.0999999999999997E-2</v>
      </c>
      <c r="R14" s="168">
        <v>30.3</v>
      </c>
      <c r="S14" s="119">
        <f t="shared" si="5"/>
        <v>1.1929133858267718</v>
      </c>
      <c r="T14" s="90">
        <v>131.25</v>
      </c>
      <c r="U14" s="111">
        <f t="shared" si="2"/>
        <v>5.1673228346456694</v>
      </c>
      <c r="V14" s="113">
        <v>106.25</v>
      </c>
      <c r="W14" s="113">
        <v>105.9</v>
      </c>
      <c r="X14" s="183">
        <f t="shared" si="3"/>
        <v>201</v>
      </c>
      <c r="Y14" s="176"/>
    </row>
    <row r="15" spans="1:25" ht="30" customHeight="1" thickTop="1" x14ac:dyDescent="0.25">
      <c r="A15" s="47"/>
      <c r="B15" s="48"/>
      <c r="C15" s="49"/>
      <c r="D15" s="49">
        <v>0.05</v>
      </c>
      <c r="G15" s="95">
        <v>10</v>
      </c>
      <c r="H15" s="199" t="s">
        <v>94</v>
      </c>
      <c r="I15" s="65">
        <v>55.6</v>
      </c>
      <c r="J15" s="21">
        <v>21.4</v>
      </c>
      <c r="K15" s="22">
        <f>I15+J15-E24</f>
        <v>77</v>
      </c>
      <c r="L15" s="66">
        <v>99.5</v>
      </c>
      <c r="M15" s="67">
        <v>79</v>
      </c>
      <c r="N15" s="25">
        <f t="shared" si="1"/>
        <v>-0.30000000000001137</v>
      </c>
      <c r="O15" s="121">
        <f t="shared" ref="O15:O22" si="7">N15/25.4</f>
        <v>-1.1811023622047691E-2</v>
      </c>
      <c r="P15" s="25">
        <f t="shared" si="6"/>
        <v>0.50800000000000001</v>
      </c>
      <c r="Q15" s="171">
        <v>0.02</v>
      </c>
      <c r="R15" s="168">
        <v>30.7</v>
      </c>
      <c r="S15" s="119">
        <f t="shared" si="5"/>
        <v>1.2086614173228347</v>
      </c>
      <c r="T15" s="90">
        <v>130.5</v>
      </c>
      <c r="U15" s="111">
        <f t="shared" si="2"/>
        <v>5.1377952755905518</v>
      </c>
      <c r="V15" s="113">
        <v>104.7</v>
      </c>
      <c r="W15" s="113">
        <v>104.45</v>
      </c>
      <c r="X15" s="183">
        <f t="shared" si="3"/>
        <v>201</v>
      </c>
      <c r="Y15" s="176"/>
    </row>
    <row r="16" spans="1:25" ht="36.75" customHeight="1" thickBot="1" x14ac:dyDescent="0.3">
      <c r="D16" s="11">
        <v>9</v>
      </c>
      <c r="G16" s="95">
        <v>11</v>
      </c>
      <c r="H16" s="198" t="s">
        <v>103</v>
      </c>
      <c r="I16" s="21">
        <v>49.2</v>
      </c>
      <c r="J16" s="21">
        <v>0</v>
      </c>
      <c r="K16" s="22">
        <f>I16+J16-E25</f>
        <v>49.2</v>
      </c>
      <c r="L16" s="177">
        <v>97</v>
      </c>
      <c r="M16" s="178">
        <v>75</v>
      </c>
      <c r="N16" s="25">
        <f t="shared" si="1"/>
        <v>0.5</v>
      </c>
      <c r="O16" s="121">
        <f t="shared" si="7"/>
        <v>1.968503937007874E-2</v>
      </c>
      <c r="P16" s="25">
        <f t="shared" si="6"/>
        <v>1.6001999999999998</v>
      </c>
      <c r="Q16" s="171">
        <v>6.3E-2</v>
      </c>
      <c r="R16" s="168">
        <v>33.5</v>
      </c>
      <c r="S16" s="119">
        <f t="shared" si="5"/>
        <v>1.3188976377952757</v>
      </c>
      <c r="T16" s="90">
        <v>130.5</v>
      </c>
      <c r="U16" s="111">
        <f t="shared" si="2"/>
        <v>5.1377952755905518</v>
      </c>
      <c r="V16" s="113"/>
      <c r="W16" s="113"/>
      <c r="X16" s="183">
        <f t="shared" si="3"/>
        <v>201</v>
      </c>
      <c r="Y16" s="176"/>
    </row>
    <row r="17" spans="1:25" ht="42" customHeight="1" thickTop="1" x14ac:dyDescent="0.25">
      <c r="A17" s="88" t="s">
        <v>20</v>
      </c>
      <c r="B17" s="160">
        <f ca="1">B7-B9</f>
        <v>0.96040000000001136</v>
      </c>
      <c r="C17" s="164" t="s">
        <v>45</v>
      </c>
      <c r="D17" s="11"/>
      <c r="G17" s="95">
        <v>12</v>
      </c>
      <c r="H17" s="198" t="s">
        <v>114</v>
      </c>
      <c r="I17" s="21">
        <v>39</v>
      </c>
      <c r="J17" s="21"/>
      <c r="K17" s="22">
        <f>I17+J17-E26</f>
        <v>39</v>
      </c>
      <c r="L17" s="177">
        <v>86</v>
      </c>
      <c r="M17" s="178">
        <v>86</v>
      </c>
      <c r="N17" s="25"/>
      <c r="O17" s="121"/>
      <c r="P17" s="25"/>
      <c r="Q17" s="171"/>
      <c r="R17" s="168">
        <v>32.64</v>
      </c>
      <c r="S17" s="119">
        <f t="shared" si="5"/>
        <v>1.2850393700787404</v>
      </c>
      <c r="T17" s="90">
        <v>129.30000000000001</v>
      </c>
      <c r="U17" s="111">
        <f t="shared" si="2"/>
        <v>5.0905511811023629</v>
      </c>
      <c r="V17" s="113"/>
      <c r="W17" s="113"/>
      <c r="X17" s="183">
        <v>205</v>
      </c>
      <c r="Y17" s="176"/>
    </row>
    <row r="18" spans="1:25" ht="39" customHeight="1" x14ac:dyDescent="0.25">
      <c r="A18" s="224" t="s">
        <v>113</v>
      </c>
      <c r="B18" s="161">
        <f ca="1">B17/25.4</f>
        <v>3.781102362204769E-2</v>
      </c>
      <c r="C18" s="165" t="s">
        <v>90</v>
      </c>
      <c r="E18" s="54"/>
      <c r="F18" s="54"/>
      <c r="G18" s="95">
        <v>13</v>
      </c>
      <c r="H18" s="198" t="s">
        <v>95</v>
      </c>
      <c r="I18" s="21">
        <v>49.8</v>
      </c>
      <c r="J18" s="21">
        <v>23.8</v>
      </c>
      <c r="K18" s="22">
        <f>I18+J18-E24</f>
        <v>73.599999999999994</v>
      </c>
      <c r="L18" s="177">
        <v>99.5</v>
      </c>
      <c r="M18" s="178">
        <v>79</v>
      </c>
      <c r="N18" s="25">
        <f t="shared" si="1"/>
        <v>-0.30000000000001137</v>
      </c>
      <c r="O18" s="121">
        <f t="shared" si="7"/>
        <v>-1.1811023622047691E-2</v>
      </c>
      <c r="P18" s="25">
        <f t="shared" si="6"/>
        <v>0.50800000000000001</v>
      </c>
      <c r="Q18" s="171">
        <v>0.02</v>
      </c>
      <c r="R18" s="168">
        <v>30.7</v>
      </c>
      <c r="S18" s="119">
        <f t="shared" si="5"/>
        <v>1.2086614173228347</v>
      </c>
      <c r="T18" s="90">
        <v>130.5</v>
      </c>
      <c r="U18" s="111">
        <f t="shared" si="2"/>
        <v>5.1377952755905518</v>
      </c>
      <c r="V18" s="113">
        <v>104.7</v>
      </c>
      <c r="W18" s="113">
        <v>104.45</v>
      </c>
      <c r="X18" s="183">
        <f t="shared" si="3"/>
        <v>201</v>
      </c>
      <c r="Y18" s="176"/>
    </row>
    <row r="19" spans="1:25" ht="57" customHeight="1" thickBot="1" x14ac:dyDescent="0.3">
      <c r="A19" s="225"/>
      <c r="B19" s="162"/>
      <c r="C19" s="163"/>
      <c r="E19" s="54"/>
      <c r="F19" s="54"/>
      <c r="G19" s="95">
        <v>14</v>
      </c>
      <c r="H19" s="205" t="s">
        <v>106</v>
      </c>
      <c r="I19" s="114">
        <v>49.4</v>
      </c>
      <c r="J19" s="21">
        <v>9</v>
      </c>
      <c r="K19" s="22">
        <f>I19+J19-E23</f>
        <v>58.4</v>
      </c>
      <c r="L19" s="194">
        <v>92.5</v>
      </c>
      <c r="M19" s="195">
        <v>75</v>
      </c>
      <c r="N19" s="25">
        <f t="shared" si="1"/>
        <v>-0.36000000000001364</v>
      </c>
      <c r="O19" s="121">
        <f t="shared" si="7"/>
        <v>-1.417322834645723E-2</v>
      </c>
      <c r="P19" s="25">
        <f t="shared" si="6"/>
        <v>0.50800000000000001</v>
      </c>
      <c r="Q19" s="171">
        <v>0.02</v>
      </c>
      <c r="R19" s="168">
        <v>32.64</v>
      </c>
      <c r="S19" s="119">
        <f t="shared" si="5"/>
        <v>1.2850393700787404</v>
      </c>
      <c r="T19" s="90">
        <v>130.5</v>
      </c>
      <c r="U19" s="111">
        <f t="shared" si="2"/>
        <v>5.1377952755905518</v>
      </c>
      <c r="V19" s="113"/>
      <c r="W19" s="113"/>
      <c r="X19" s="183">
        <f t="shared" si="3"/>
        <v>201</v>
      </c>
      <c r="Y19" s="176"/>
    </row>
    <row r="20" spans="1:25" ht="53.25" customHeight="1" thickTop="1" thickBot="1" x14ac:dyDescent="0.3">
      <c r="A20" s="216" t="s">
        <v>63</v>
      </c>
      <c r="B20" s="217"/>
      <c r="C20" s="98"/>
      <c r="D20" s="182" t="s">
        <v>89</v>
      </c>
      <c r="E20" s="156"/>
      <c r="F20" s="11"/>
      <c r="G20" s="95">
        <v>15</v>
      </c>
      <c r="H20" s="205" t="s">
        <v>107</v>
      </c>
      <c r="I20" s="114">
        <v>49.4</v>
      </c>
      <c r="J20" s="21">
        <v>16.399999999999999</v>
      </c>
      <c r="K20" s="22">
        <f>I20+J20-E24</f>
        <v>65.8</v>
      </c>
      <c r="L20" s="194">
        <v>92.5</v>
      </c>
      <c r="M20" s="195">
        <v>79</v>
      </c>
      <c r="N20" s="25">
        <f t="shared" si="1"/>
        <v>9.9999999999994316E-2</v>
      </c>
      <c r="O20" s="121">
        <f t="shared" si="7"/>
        <v>3.9370078740155242E-3</v>
      </c>
      <c r="P20" s="25">
        <f t="shared" si="6"/>
        <v>1.2953999999999999</v>
      </c>
      <c r="Q20" s="171">
        <v>5.0999999999999997E-2</v>
      </c>
      <c r="R20" s="168">
        <v>30</v>
      </c>
      <c r="S20" s="119">
        <f t="shared" si="5"/>
        <v>1.1811023622047245</v>
      </c>
      <c r="T20" s="90">
        <v>131.6</v>
      </c>
      <c r="U20" s="111">
        <f t="shared" si="2"/>
        <v>5.1811023622047241</v>
      </c>
      <c r="V20" s="113"/>
      <c r="W20" s="113"/>
      <c r="X20" s="183">
        <f t="shared" si="3"/>
        <v>201</v>
      </c>
      <c r="Y20" s="176"/>
    </row>
    <row r="21" spans="1:25" ht="48" thickBot="1" x14ac:dyDescent="0.3">
      <c r="A21" s="99" t="s">
        <v>17</v>
      </c>
      <c r="B21" s="100" t="s">
        <v>21</v>
      </c>
      <c r="C21" s="101">
        <v>0</v>
      </c>
      <c r="D21" s="157" t="s">
        <v>22</v>
      </c>
      <c r="E21" s="105">
        <f>2.54*C21*60.8</f>
        <v>0</v>
      </c>
      <c r="F21" s="190"/>
      <c r="G21" s="95">
        <v>16</v>
      </c>
      <c r="H21" s="200" t="s">
        <v>104</v>
      </c>
      <c r="I21" s="114">
        <v>49.4</v>
      </c>
      <c r="J21" s="21">
        <v>14.4</v>
      </c>
      <c r="K21" s="22">
        <f>I21+J21-E23</f>
        <v>63.8</v>
      </c>
      <c r="L21" s="194">
        <v>92.5</v>
      </c>
      <c r="M21" s="195">
        <v>75</v>
      </c>
      <c r="N21" s="25">
        <f t="shared" si="1"/>
        <v>0.30000000000001137</v>
      </c>
      <c r="O21" s="121">
        <f t="shared" si="7"/>
        <v>1.1811023622047691E-2</v>
      </c>
      <c r="P21" s="25">
        <f t="shared" si="6"/>
        <v>1.2953999999999999</v>
      </c>
      <c r="Q21" s="171">
        <v>5.0999999999999997E-2</v>
      </c>
      <c r="R21" s="168">
        <v>33.299999999999997</v>
      </c>
      <c r="S21" s="119">
        <f t="shared" si="5"/>
        <v>1.311023622047244</v>
      </c>
      <c r="T21" s="90">
        <v>130.5</v>
      </c>
      <c r="U21" s="111">
        <f t="shared" si="2"/>
        <v>5.1377952755905518</v>
      </c>
      <c r="V21" s="113"/>
      <c r="W21" s="113"/>
      <c r="X21" s="183">
        <f t="shared" si="3"/>
        <v>201</v>
      </c>
      <c r="Y21" s="176"/>
    </row>
    <row r="22" spans="1:25" ht="48.75" customHeight="1" thickBot="1" x14ac:dyDescent="0.3">
      <c r="A22" s="218" t="s">
        <v>65</v>
      </c>
      <c r="B22" s="219"/>
      <c r="C22" s="103"/>
      <c r="D22" s="102" t="s">
        <v>23</v>
      </c>
      <c r="E22" s="105">
        <f>2.54*C21*56.25</f>
        <v>0</v>
      </c>
      <c r="F22" s="190"/>
      <c r="G22" s="95">
        <v>17</v>
      </c>
      <c r="H22" s="200" t="s">
        <v>105</v>
      </c>
      <c r="I22" s="114">
        <v>49.4</v>
      </c>
      <c r="J22" s="21">
        <v>14.4</v>
      </c>
      <c r="K22" s="22">
        <f>I22+J22-E23</f>
        <v>63.8</v>
      </c>
      <c r="L22" s="194">
        <v>92.5</v>
      </c>
      <c r="M22" s="195">
        <v>79</v>
      </c>
      <c r="N22" s="25">
        <f t="shared" si="1"/>
        <v>0.30000000000001137</v>
      </c>
      <c r="O22" s="121">
        <f t="shared" si="7"/>
        <v>1.1811023622047691E-2</v>
      </c>
      <c r="P22" s="25">
        <f t="shared" si="6"/>
        <v>1.2953999999999999</v>
      </c>
      <c r="Q22" s="171">
        <v>5.0999999999999997E-2</v>
      </c>
      <c r="R22" s="168">
        <v>31.3</v>
      </c>
      <c r="S22" s="119">
        <f t="shared" si="5"/>
        <v>1.2322834645669292</v>
      </c>
      <c r="T22" s="90">
        <v>130.5</v>
      </c>
      <c r="U22" s="111">
        <f t="shared" si="2"/>
        <v>5.1377952755905518</v>
      </c>
      <c r="V22" s="113"/>
      <c r="W22" s="113"/>
      <c r="X22" s="183">
        <f t="shared" si="3"/>
        <v>201</v>
      </c>
      <c r="Y22" s="176"/>
    </row>
    <row r="23" spans="1:25" ht="52.5" customHeight="1" thickBot="1" x14ac:dyDescent="0.3">
      <c r="A23" s="186" t="s">
        <v>17</v>
      </c>
      <c r="B23" s="187" t="s">
        <v>24</v>
      </c>
      <c r="C23" s="185">
        <v>0</v>
      </c>
      <c r="D23" s="102" t="s">
        <v>73</v>
      </c>
      <c r="E23" s="105">
        <f>2.54*C21*59.95</f>
        <v>0</v>
      </c>
      <c r="F23" s="190"/>
      <c r="G23" s="95">
        <v>18</v>
      </c>
      <c r="H23" s="204" t="s">
        <v>99</v>
      </c>
      <c r="I23" s="37">
        <v>49.4</v>
      </c>
      <c r="J23" s="21">
        <v>22.4</v>
      </c>
      <c r="K23" s="22">
        <f>I23+J23-E23</f>
        <v>71.8</v>
      </c>
      <c r="L23" s="38">
        <v>98</v>
      </c>
      <c r="M23" s="39">
        <v>79</v>
      </c>
      <c r="N23" s="25">
        <f t="shared" si="1"/>
        <v>5.0000000000011369E-2</v>
      </c>
      <c r="O23" s="121">
        <f t="shared" si="4"/>
        <v>1.9685039370083215E-3</v>
      </c>
      <c r="P23" s="25">
        <f t="shared" ref="P23:P34" si="8">Q23*25.4</f>
        <v>1.2953999999999999</v>
      </c>
      <c r="Q23" s="171">
        <v>5.0999999999999997E-2</v>
      </c>
      <c r="R23" s="168">
        <v>31.05</v>
      </c>
      <c r="S23" s="119">
        <f t="shared" si="5"/>
        <v>1.2224409448818898</v>
      </c>
      <c r="T23" s="90">
        <v>130.5</v>
      </c>
      <c r="U23" s="111">
        <f t="shared" si="2"/>
        <v>5.1377952755905518</v>
      </c>
      <c r="V23" s="113"/>
      <c r="W23" s="113"/>
      <c r="X23" s="183">
        <f t="shared" si="3"/>
        <v>201</v>
      </c>
      <c r="Y23" s="176"/>
    </row>
    <row r="24" spans="1:25" ht="52.5" customHeight="1" thickBot="1" x14ac:dyDescent="0.3">
      <c r="A24" s="123"/>
      <c r="B24" s="126"/>
      <c r="C24" s="104"/>
      <c r="D24" s="124" t="s">
        <v>69</v>
      </c>
      <c r="E24" s="105">
        <f>2.54*C21*65.18</f>
        <v>0</v>
      </c>
      <c r="F24" s="190"/>
      <c r="G24" s="95">
        <v>19</v>
      </c>
      <c r="H24" s="204" t="s">
        <v>81</v>
      </c>
      <c r="I24" s="21">
        <f>46.2-$E$22</f>
        <v>46.2</v>
      </c>
      <c r="J24" s="21">
        <v>22.4</v>
      </c>
      <c r="K24" s="43">
        <f>I24+J24-E22</f>
        <v>68.599999999999994</v>
      </c>
      <c r="L24" s="128">
        <v>99.5</v>
      </c>
      <c r="M24" s="44">
        <v>79</v>
      </c>
      <c r="N24" s="25">
        <f>-X24+M24/2+R24+T24</f>
        <v>5.0000000000011369E-2</v>
      </c>
      <c r="O24" s="121">
        <f>N24/25.4</f>
        <v>1.9685039370083215E-3</v>
      </c>
      <c r="P24" s="25">
        <f>Q24*25.4</f>
        <v>1.016</v>
      </c>
      <c r="Q24" s="171">
        <v>0.04</v>
      </c>
      <c r="R24" s="169">
        <v>31.05</v>
      </c>
      <c r="S24" s="120">
        <f>R24/25.4</f>
        <v>1.2224409448818898</v>
      </c>
      <c r="T24" s="90">
        <v>130.5</v>
      </c>
      <c r="U24" s="111">
        <f>T24/25.4</f>
        <v>5.1377952755905518</v>
      </c>
      <c r="V24" s="117"/>
      <c r="W24" s="117"/>
      <c r="X24" s="183">
        <f t="shared" si="3"/>
        <v>201</v>
      </c>
      <c r="Y24" s="176"/>
    </row>
    <row r="25" spans="1:25" ht="48" customHeight="1" x14ac:dyDescent="0.25">
      <c r="A25" s="115"/>
      <c r="B25" s="116"/>
      <c r="G25" s="95">
        <v>20</v>
      </c>
      <c r="H25" s="201" t="s">
        <v>15</v>
      </c>
      <c r="I25" s="114">
        <f>50-$E$21</f>
        <v>50</v>
      </c>
      <c r="J25" s="21">
        <v>1.7</v>
      </c>
      <c r="K25" s="43">
        <f>I25+J25-E21</f>
        <v>51.7</v>
      </c>
      <c r="L25" s="128">
        <v>100</v>
      </c>
      <c r="M25" s="44">
        <v>79</v>
      </c>
      <c r="N25" s="25">
        <f t="shared" si="1"/>
        <v>5.0000000000011369E-2</v>
      </c>
      <c r="O25" s="121">
        <f t="shared" si="4"/>
        <v>1.9685039370083215E-3</v>
      </c>
      <c r="P25" s="25">
        <f t="shared" si="8"/>
        <v>1.016</v>
      </c>
      <c r="Q25" s="171">
        <v>0.04</v>
      </c>
      <c r="R25" s="168">
        <v>31.05</v>
      </c>
      <c r="S25" s="119">
        <f t="shared" si="5"/>
        <v>1.2224409448818898</v>
      </c>
      <c r="T25" s="90">
        <v>130.5</v>
      </c>
      <c r="U25" s="111">
        <f t="shared" si="2"/>
        <v>5.1377952755905518</v>
      </c>
      <c r="V25" s="113"/>
      <c r="W25" s="113"/>
      <c r="X25" s="183">
        <f t="shared" si="3"/>
        <v>201</v>
      </c>
      <c r="Y25" s="176"/>
    </row>
    <row r="26" spans="1:25" ht="54.75" customHeight="1" thickBot="1" x14ac:dyDescent="0.3">
      <c r="D26" s="147" t="s">
        <v>83</v>
      </c>
      <c r="G26" s="95">
        <v>21</v>
      </c>
      <c r="H26" s="201" t="s">
        <v>80</v>
      </c>
      <c r="I26" s="114">
        <f>50-$E$21</f>
        <v>50</v>
      </c>
      <c r="J26" s="21">
        <v>22.4</v>
      </c>
      <c r="K26" s="43">
        <f>I26+J26-E21</f>
        <v>72.400000000000006</v>
      </c>
      <c r="L26" s="44">
        <v>100</v>
      </c>
      <c r="M26" s="44">
        <v>79</v>
      </c>
      <c r="N26" s="129">
        <f>-X26+M26/2+R26+T26</f>
        <v>5.0000000000011369E-2</v>
      </c>
      <c r="O26" s="130">
        <f>N26/25.4</f>
        <v>1.9685039370083215E-3</v>
      </c>
      <c r="P26" s="129">
        <f>Q26*25.4</f>
        <v>1.016</v>
      </c>
      <c r="Q26" s="172">
        <v>0.04</v>
      </c>
      <c r="R26" s="169">
        <v>31.05</v>
      </c>
      <c r="S26" s="120">
        <f>R26/25.4</f>
        <v>1.2224409448818898</v>
      </c>
      <c r="T26" s="122">
        <v>130.5</v>
      </c>
      <c r="U26" s="131">
        <f>T26/25.4</f>
        <v>5.1377952755905518</v>
      </c>
      <c r="V26" s="117"/>
      <c r="W26" s="117"/>
      <c r="X26" s="188">
        <f t="shared" si="3"/>
        <v>201</v>
      </c>
      <c r="Y26" s="176"/>
    </row>
    <row r="27" spans="1:25" ht="48.75" customHeight="1" x14ac:dyDescent="0.25">
      <c r="A27" s="144" t="s">
        <v>26</v>
      </c>
      <c r="B27" s="148">
        <f ca="1">LOOKUP($B$4,$G$5:$G$35,T$5:T$34)</f>
        <v>130.5</v>
      </c>
      <c r="C27" s="155" t="s">
        <v>2</v>
      </c>
      <c r="D27" s="149">
        <f ca="1">B27/25.4</f>
        <v>5.1377952755905518</v>
      </c>
      <c r="G27" s="95">
        <v>22</v>
      </c>
      <c r="H27" s="201" t="s">
        <v>117</v>
      </c>
      <c r="I27" s="114">
        <v>53.9</v>
      </c>
      <c r="J27" s="21">
        <v>0.7</v>
      </c>
      <c r="K27" s="43">
        <f>I27+J27-E22</f>
        <v>54.6</v>
      </c>
      <c r="L27" s="44">
        <v>100</v>
      </c>
      <c r="M27" s="44">
        <v>79</v>
      </c>
      <c r="N27" s="129">
        <f>-X27+M27/2+R27+T27</f>
        <v>5.0000000000011369E-2</v>
      </c>
      <c r="O27" s="130">
        <f>N27/25.4</f>
        <v>1.9685039370083215E-3</v>
      </c>
      <c r="P27" s="129">
        <f>Q27*25.4</f>
        <v>1.016</v>
      </c>
      <c r="Q27" s="172">
        <v>0.04</v>
      </c>
      <c r="R27" s="169">
        <v>31.05</v>
      </c>
      <c r="S27" s="120">
        <f>R27/25.4</f>
        <v>1.2224409448818898</v>
      </c>
      <c r="T27" s="122">
        <v>130.5</v>
      </c>
      <c r="U27" s="131">
        <f>T27/25.4</f>
        <v>5.1377952755905518</v>
      </c>
      <c r="V27" s="117"/>
      <c r="W27" s="117"/>
      <c r="X27" s="188">
        <f t="shared" si="3"/>
        <v>201</v>
      </c>
      <c r="Y27" s="176"/>
    </row>
    <row r="28" spans="1:25" ht="54" customHeight="1" x14ac:dyDescent="0.25">
      <c r="A28" s="61" t="s">
        <v>25</v>
      </c>
      <c r="B28" s="150">
        <f ca="1">B27/B6</f>
        <v>1.6518987341772151</v>
      </c>
      <c r="C28" s="90"/>
      <c r="D28" s="151" t="s">
        <v>84</v>
      </c>
      <c r="G28" s="95">
        <v>23</v>
      </c>
      <c r="H28" s="202" t="s">
        <v>115</v>
      </c>
      <c r="I28" s="114">
        <v>55.6</v>
      </c>
      <c r="J28" s="21">
        <v>20.3</v>
      </c>
      <c r="K28" s="43">
        <f>I28+J28-E24</f>
        <v>75.900000000000006</v>
      </c>
      <c r="L28" s="128">
        <v>100</v>
      </c>
      <c r="M28" s="44">
        <v>79</v>
      </c>
      <c r="N28" s="25">
        <f t="shared" si="1"/>
        <v>5.0000000000011369E-2</v>
      </c>
      <c r="O28" s="121">
        <f t="shared" si="4"/>
        <v>1.9685039370083215E-3</v>
      </c>
      <c r="P28" s="25">
        <f t="shared" si="8"/>
        <v>1.016</v>
      </c>
      <c r="Q28" s="171">
        <v>0.04</v>
      </c>
      <c r="R28" s="169">
        <v>31.05</v>
      </c>
      <c r="S28" s="120">
        <f t="shared" si="5"/>
        <v>1.2224409448818898</v>
      </c>
      <c r="T28" s="90">
        <v>130.5</v>
      </c>
      <c r="U28" s="111">
        <f t="shared" si="2"/>
        <v>5.1377952755905518</v>
      </c>
      <c r="V28" s="117"/>
      <c r="W28" s="117"/>
      <c r="X28" s="189">
        <f t="shared" si="3"/>
        <v>201</v>
      </c>
      <c r="Y28" s="209"/>
    </row>
    <row r="29" spans="1:25" ht="53.25" customHeight="1" x14ac:dyDescent="0.3">
      <c r="A29" s="64" t="s">
        <v>27</v>
      </c>
      <c r="B29" s="184">
        <v>8500</v>
      </c>
      <c r="C29" s="90"/>
      <c r="D29" s="151" t="s">
        <v>85</v>
      </c>
      <c r="G29" s="95">
        <v>24</v>
      </c>
      <c r="H29" s="202" t="s">
        <v>116</v>
      </c>
      <c r="I29" s="21">
        <f>49.4-$E$23</f>
        <v>49.4</v>
      </c>
      <c r="J29" s="21">
        <v>20.3</v>
      </c>
      <c r="K29" s="43">
        <f>I29+J29-E23</f>
        <v>69.7</v>
      </c>
      <c r="L29" s="128">
        <v>100</v>
      </c>
      <c r="M29" s="44">
        <v>79</v>
      </c>
      <c r="N29" s="25">
        <f t="shared" si="1"/>
        <v>5.0000000000011369E-2</v>
      </c>
      <c r="O29" s="121">
        <f t="shared" si="4"/>
        <v>1.9685039370083215E-3</v>
      </c>
      <c r="P29" s="25">
        <f t="shared" si="8"/>
        <v>1.016</v>
      </c>
      <c r="Q29" s="171">
        <v>0.04</v>
      </c>
      <c r="R29" s="169">
        <v>31.05</v>
      </c>
      <c r="S29" s="120">
        <f t="shared" si="5"/>
        <v>1.2224409448818898</v>
      </c>
      <c r="T29" s="90">
        <v>130.5</v>
      </c>
      <c r="U29" s="111">
        <f t="shared" si="2"/>
        <v>5.1377952755905518</v>
      </c>
      <c r="V29" s="117"/>
      <c r="W29" s="117"/>
      <c r="X29" s="183">
        <f t="shared" si="3"/>
        <v>201</v>
      </c>
      <c r="Y29" s="11"/>
    </row>
    <row r="30" spans="1:25" ht="45" customHeight="1" x14ac:dyDescent="0.25">
      <c r="A30" s="62" t="s">
        <v>28</v>
      </c>
      <c r="B30" s="152">
        <f ca="1">2*B6/1000*B29/60</f>
        <v>22.383333333333333</v>
      </c>
      <c r="C30" s="153" t="s">
        <v>87</v>
      </c>
      <c r="D30" s="151" t="s">
        <v>86</v>
      </c>
      <c r="G30" s="95">
        <v>25</v>
      </c>
      <c r="H30" s="202" t="s">
        <v>100</v>
      </c>
      <c r="I30" s="21">
        <f>49.4-$E$23</f>
        <v>49.4</v>
      </c>
      <c r="J30" s="21">
        <v>28.5</v>
      </c>
      <c r="K30" s="43">
        <f>I30+J30-E24</f>
        <v>77.900000000000006</v>
      </c>
      <c r="L30" s="128">
        <v>99.5</v>
      </c>
      <c r="M30" s="44">
        <v>79</v>
      </c>
      <c r="N30" s="25">
        <f t="shared" si="1"/>
        <v>5.0000000000011369E-2</v>
      </c>
      <c r="O30" s="121">
        <f t="shared" si="4"/>
        <v>1.9685039370083215E-3</v>
      </c>
      <c r="P30" s="25">
        <f t="shared" si="8"/>
        <v>1.016</v>
      </c>
      <c r="Q30" s="171">
        <v>0.04</v>
      </c>
      <c r="R30" s="169">
        <v>31.05</v>
      </c>
      <c r="S30" s="120">
        <f t="shared" si="5"/>
        <v>1.2224409448818898</v>
      </c>
      <c r="T30" s="90">
        <v>130.5</v>
      </c>
      <c r="U30" s="111">
        <f t="shared" si="2"/>
        <v>5.1377952755905518</v>
      </c>
      <c r="V30" s="117"/>
      <c r="W30" s="117"/>
      <c r="X30" s="183">
        <f t="shared" si="3"/>
        <v>201</v>
      </c>
    </row>
    <row r="31" spans="1:25" ht="51.75" customHeight="1" thickBot="1" x14ac:dyDescent="0.3">
      <c r="A31" s="63" t="s">
        <v>29</v>
      </c>
      <c r="B31" s="193">
        <f ca="1">(D6/12)*2*B29</f>
        <v>4406.1679790026246</v>
      </c>
      <c r="C31" s="154" t="s">
        <v>88</v>
      </c>
      <c r="D31" s="151" t="s">
        <v>86</v>
      </c>
      <c r="G31" s="95">
        <v>26</v>
      </c>
      <c r="H31" s="203" t="s">
        <v>98</v>
      </c>
      <c r="I31" s="114">
        <v>55.6</v>
      </c>
      <c r="J31" s="21">
        <v>31.6</v>
      </c>
      <c r="K31" s="43">
        <f>I31+J31-E24</f>
        <v>87.2</v>
      </c>
      <c r="L31" s="44">
        <v>102</v>
      </c>
      <c r="M31" s="44">
        <v>84</v>
      </c>
      <c r="N31" s="25">
        <f t="shared" si="1"/>
        <v>0</v>
      </c>
      <c r="O31" s="121">
        <f t="shared" si="4"/>
        <v>0</v>
      </c>
      <c r="P31" s="25">
        <f t="shared" si="8"/>
        <v>1.016</v>
      </c>
      <c r="Q31" s="171">
        <v>0.04</v>
      </c>
      <c r="R31" s="169">
        <v>28.5</v>
      </c>
      <c r="S31" s="120">
        <f t="shared" si="5"/>
        <v>1.1220472440944882</v>
      </c>
      <c r="T31" s="90">
        <v>130.5</v>
      </c>
      <c r="U31" s="111">
        <f t="shared" si="2"/>
        <v>5.1377952755905518</v>
      </c>
      <c r="V31" s="117"/>
      <c r="W31" s="117"/>
      <c r="X31" s="183">
        <f t="shared" si="3"/>
        <v>201</v>
      </c>
    </row>
    <row r="32" spans="1:25" ht="60" customHeight="1" thickTop="1" x14ac:dyDescent="0.25">
      <c r="A32" s="50" t="s">
        <v>51</v>
      </c>
      <c r="B32" s="51">
        <v>2</v>
      </c>
      <c r="G32" s="95">
        <v>27</v>
      </c>
      <c r="H32" s="211" t="s">
        <v>110</v>
      </c>
      <c r="I32" s="114">
        <v>56</v>
      </c>
      <c r="J32" s="21">
        <v>-9.5</v>
      </c>
      <c r="K32" s="43">
        <f>I32+J32-E25</f>
        <v>46.5</v>
      </c>
      <c r="L32" s="44">
        <v>100</v>
      </c>
      <c r="M32" s="44">
        <v>79</v>
      </c>
      <c r="N32" s="25">
        <f t="shared" si="1"/>
        <v>6.9999999999993179E-2</v>
      </c>
      <c r="O32" s="121">
        <f t="shared" si="4"/>
        <v>2.7559055118107551E-3</v>
      </c>
      <c r="P32" s="25">
        <f t="shared" si="8"/>
        <v>1.016</v>
      </c>
      <c r="Q32" s="171">
        <v>0.04</v>
      </c>
      <c r="R32" s="169">
        <v>31.07</v>
      </c>
      <c r="S32" s="120">
        <f t="shared" si="5"/>
        <v>1.2232283464566931</v>
      </c>
      <c r="T32" s="90">
        <v>130.5</v>
      </c>
      <c r="U32" s="111">
        <f t="shared" si="2"/>
        <v>5.1377952755905518</v>
      </c>
      <c r="V32" s="117"/>
      <c r="W32" s="117"/>
      <c r="X32" s="189">
        <v>201</v>
      </c>
    </row>
    <row r="33" spans="1:24" ht="53.45" customHeight="1" thickBot="1" x14ac:dyDescent="0.3">
      <c r="A33" s="50" t="s">
        <v>50</v>
      </c>
      <c r="B33" s="56">
        <v>2</v>
      </c>
      <c r="C33" s="220" t="s">
        <v>97</v>
      </c>
      <c r="G33" s="95">
        <v>28</v>
      </c>
      <c r="H33" s="203" t="s">
        <v>91</v>
      </c>
      <c r="I33" s="114">
        <v>55.6</v>
      </c>
      <c r="J33" s="21">
        <v>22.4</v>
      </c>
      <c r="K33" s="43">
        <f>I33+J33-E23</f>
        <v>78</v>
      </c>
      <c r="L33" s="44">
        <v>100</v>
      </c>
      <c r="M33" s="44">
        <v>84</v>
      </c>
      <c r="N33" s="25">
        <f t="shared" si="1"/>
        <v>0</v>
      </c>
      <c r="O33" s="121">
        <f t="shared" si="4"/>
        <v>0</v>
      </c>
      <c r="P33" s="25">
        <f t="shared" si="8"/>
        <v>1.016</v>
      </c>
      <c r="Q33" s="171">
        <v>0.04</v>
      </c>
      <c r="R33" s="169">
        <v>28.5</v>
      </c>
      <c r="S33" s="120">
        <f t="shared" si="5"/>
        <v>1.1220472440944882</v>
      </c>
      <c r="T33" s="90">
        <v>130.5</v>
      </c>
      <c r="U33" s="111">
        <f t="shared" si="2"/>
        <v>5.1377952755905518</v>
      </c>
      <c r="V33" s="117"/>
      <c r="W33" s="117"/>
      <c r="X33" s="189">
        <f t="shared" si="3"/>
        <v>201</v>
      </c>
    </row>
    <row r="34" spans="1:24" ht="45.75" customHeight="1" thickTop="1" thickBot="1" x14ac:dyDescent="0.35">
      <c r="A34" s="50" t="s">
        <v>53</v>
      </c>
      <c r="B34" s="56">
        <v>37</v>
      </c>
      <c r="C34" s="221"/>
      <c r="D34" s="53"/>
      <c r="G34" s="95">
        <v>29</v>
      </c>
      <c r="H34" s="191" t="s">
        <v>16</v>
      </c>
      <c r="I34" s="127">
        <v>50</v>
      </c>
      <c r="J34" s="127">
        <v>10</v>
      </c>
      <c r="K34" s="68">
        <f>I34+J34-J35</f>
        <v>60</v>
      </c>
      <c r="L34" s="132">
        <v>99.5</v>
      </c>
      <c r="M34" s="132">
        <v>75</v>
      </c>
      <c r="N34" s="137">
        <f t="shared" si="1"/>
        <v>-0.30000000000001137</v>
      </c>
      <c r="O34" s="138">
        <f t="shared" si="4"/>
        <v>-1.1811023622047691E-2</v>
      </c>
      <c r="P34" s="137">
        <f t="shared" si="8"/>
        <v>0.7619999999999999</v>
      </c>
      <c r="Q34" s="173">
        <v>0.03</v>
      </c>
      <c r="R34" s="170">
        <v>30.7</v>
      </c>
      <c r="S34" s="133">
        <f>R34/25.4</f>
        <v>1.2086614173228347</v>
      </c>
      <c r="T34" s="134">
        <v>132.5</v>
      </c>
      <c r="U34" s="135">
        <f t="shared" si="2"/>
        <v>5.2165354330708666</v>
      </c>
      <c r="V34" s="136"/>
      <c r="W34" s="136"/>
      <c r="X34" s="212">
        <f>G35-$C$23*25.4</f>
        <v>201</v>
      </c>
    </row>
    <row r="35" spans="1:24" ht="40.5" customHeight="1" thickTop="1" thickBot="1" x14ac:dyDescent="0.3">
      <c r="A35" s="50" t="s">
        <v>52</v>
      </c>
      <c r="B35" s="56">
        <v>33</v>
      </c>
      <c r="C35" s="221"/>
      <c r="D35" s="53"/>
      <c r="G35" s="210">
        <v>201</v>
      </c>
      <c r="H35" s="207" t="s">
        <v>71</v>
      </c>
      <c r="I35" s="208"/>
      <c r="J35" s="206">
        <f>IF(J36="25D",E22,IF(J36="25S",E21, IF(J36="20T", E23, IF(J36="257",E24))))</f>
        <v>0</v>
      </c>
      <c r="K35" s="234" t="s">
        <v>82</v>
      </c>
      <c r="L35" s="179"/>
      <c r="M35" s="180"/>
      <c r="Q35" s="118"/>
      <c r="T35" s="107">
        <v>0.5</v>
      </c>
      <c r="U35" s="107"/>
      <c r="V35" s="107"/>
      <c r="W35" s="107"/>
      <c r="X35" s="232" t="s">
        <v>60</v>
      </c>
    </row>
    <row r="36" spans="1:24" ht="39.75" thickTop="1" thickBot="1" x14ac:dyDescent="0.25">
      <c r="A36" s="50" t="s">
        <v>18</v>
      </c>
      <c r="B36" s="56">
        <v>0</v>
      </c>
      <c r="C36" s="221"/>
      <c r="D36" s="52"/>
      <c r="G36" s="230" t="s">
        <v>76</v>
      </c>
      <c r="H36" s="231"/>
      <c r="I36" s="158" t="s">
        <v>74</v>
      </c>
      <c r="J36" s="166" t="s">
        <v>118</v>
      </c>
      <c r="K36" s="235"/>
      <c r="L36" s="181"/>
      <c r="M36" s="181"/>
      <c r="O36" s="174"/>
      <c r="T36" s="107">
        <v>-0.3</v>
      </c>
      <c r="U36" s="107"/>
      <c r="V36" s="107"/>
      <c r="W36" s="107"/>
      <c r="X36" s="233"/>
    </row>
    <row r="37" spans="1:24" ht="15.75" customHeight="1" thickBot="1" x14ac:dyDescent="0.25">
      <c r="A37" s="57" t="s">
        <v>19</v>
      </c>
      <c r="B37" s="58">
        <f>PI()*((B34/20)^2*+B33+(B35/20)^2)*B32*(B36/10)</f>
        <v>0</v>
      </c>
      <c r="C37" s="221"/>
      <c r="D37" s="52"/>
      <c r="G37" s="228" t="s">
        <v>77</v>
      </c>
      <c r="H37" s="229"/>
      <c r="J37" s="59"/>
      <c r="K37" s="233"/>
      <c r="L37" s="55"/>
      <c r="M37" s="11"/>
    </row>
    <row r="38" spans="1:24" ht="35.25" customHeight="1" thickTop="1" x14ac:dyDescent="0.2">
      <c r="G38" s="228" t="s">
        <v>78</v>
      </c>
      <c r="H38" s="229"/>
    </row>
    <row r="39" spans="1:24" ht="15" x14ac:dyDescent="0.2">
      <c r="G39" s="145"/>
      <c r="H39" s="146"/>
    </row>
    <row r="40" spans="1:24" ht="15.75" thickBot="1" x14ac:dyDescent="0.25">
      <c r="G40" s="226" t="s">
        <v>79</v>
      </c>
      <c r="H40" s="227"/>
    </row>
    <row r="44" spans="1:24" x14ac:dyDescent="0.2">
      <c r="H44" s="60"/>
    </row>
    <row r="51" ht="134.25" customHeight="1" x14ac:dyDescent="0.2"/>
  </sheetData>
  <sheetProtection selectLockedCells="1"/>
  <mergeCells count="13">
    <mergeCell ref="G40:H40"/>
    <mergeCell ref="G38:H38"/>
    <mergeCell ref="G36:H36"/>
    <mergeCell ref="G37:H37"/>
    <mergeCell ref="X35:X36"/>
    <mergeCell ref="K35:K37"/>
    <mergeCell ref="A1:X1"/>
    <mergeCell ref="G3:G4"/>
    <mergeCell ref="A20:B20"/>
    <mergeCell ref="A22:B22"/>
    <mergeCell ref="C33:C37"/>
    <mergeCell ref="V4:W4"/>
    <mergeCell ref="A18:A19"/>
  </mergeCells>
  <phoneticPr fontId="31" type="noConversion"/>
  <pageMargins left="0.19" right="0.59" top="0.2" bottom="0.19" header="0.5" footer="0.5"/>
  <pageSetup scale="38" fitToHeight="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2:A33"/>
  <sheetViews>
    <sheetView workbookViewId="0">
      <selection sqref="A1:P38"/>
    </sheetView>
  </sheetViews>
  <sheetFormatPr defaultRowHeight="12.75" x14ac:dyDescent="0.2"/>
  <cols>
    <col min="1" max="1" width="10.5703125" customWidth="1"/>
    <col min="2" max="2" width="6.7109375" customWidth="1"/>
    <col min="3" max="3" width="6.42578125" customWidth="1"/>
    <col min="4" max="4" width="5.85546875" customWidth="1"/>
    <col min="5" max="6" width="6.28515625" customWidth="1"/>
    <col min="7" max="7" width="5.5703125" customWidth="1"/>
    <col min="8" max="8" width="5.7109375" customWidth="1"/>
    <col min="9" max="9" width="6.7109375" customWidth="1"/>
    <col min="10" max="10" width="7.7109375" customWidth="1"/>
    <col min="11" max="11" width="7.140625" customWidth="1"/>
    <col min="12" max="12" width="5.5703125" customWidth="1"/>
    <col min="13" max="13" width="7.140625" customWidth="1"/>
    <col min="14" max="14" width="7" customWidth="1"/>
    <col min="15" max="15" width="7.42578125" customWidth="1"/>
    <col min="16" max="16" width="6.28515625" customWidth="1"/>
  </cols>
  <sheetData>
    <row r="32" s="109" customFormat="1" x14ac:dyDescent="0.2"/>
    <row r="33" s="109" customFormat="1" x14ac:dyDescent="0.2"/>
  </sheetData>
  <sheetProtection sheet="1" objects="1" scenarios="1" selectLockedCells="1" selectUnlockedCells="1"/>
  <phoneticPr fontId="3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4"/>
  <sheetViews>
    <sheetView topLeftCell="A4" workbookViewId="0">
      <selection activeCell="E8" sqref="E8"/>
    </sheetView>
  </sheetViews>
  <sheetFormatPr defaultRowHeight="12.75" x14ac:dyDescent="0.2"/>
  <cols>
    <col min="5" max="5" width="12.28515625" customWidth="1"/>
  </cols>
  <sheetData>
    <row r="1" spans="1:10" x14ac:dyDescent="0.2">
      <c r="A1" s="238" t="s">
        <v>48</v>
      </c>
      <c r="B1" s="239"/>
      <c r="C1" s="239"/>
      <c r="D1" s="239"/>
    </row>
    <row r="2" spans="1:10" x14ac:dyDescent="0.2">
      <c r="A2" s="237" t="s">
        <v>47</v>
      </c>
      <c r="B2" s="237"/>
      <c r="C2" s="84">
        <f ca="1">'Compression Analysis'!B27</f>
        <v>130.5</v>
      </c>
      <c r="D2" s="78" t="s">
        <v>45</v>
      </c>
      <c r="E2" s="80"/>
      <c r="F2" s="82"/>
    </row>
    <row r="3" spans="1:10" x14ac:dyDescent="0.2">
      <c r="A3" s="237" t="s">
        <v>46</v>
      </c>
      <c r="B3" s="237"/>
      <c r="C3" s="83">
        <f ca="1">'Compression Analysis'!B6</f>
        <v>79</v>
      </c>
      <c r="D3" t="s">
        <v>45</v>
      </c>
      <c r="E3" s="80"/>
      <c r="F3" s="82"/>
    </row>
    <row r="4" spans="1:10" x14ac:dyDescent="0.2">
      <c r="A4" s="241" t="s">
        <v>44</v>
      </c>
      <c r="B4" s="241"/>
      <c r="C4" s="81">
        <f ca="1">C3/2</f>
        <v>39.5</v>
      </c>
      <c r="D4" s="236" t="s">
        <v>43</v>
      </c>
      <c r="E4" s="236"/>
    </row>
    <row r="5" spans="1:10" x14ac:dyDescent="0.2">
      <c r="A5" s="237" t="s">
        <v>42</v>
      </c>
      <c r="B5" s="237"/>
      <c r="C5" s="79">
        <f>'Compression Analysis'!B29</f>
        <v>8500</v>
      </c>
      <c r="D5" s="240" t="s">
        <v>41</v>
      </c>
      <c r="E5" s="240"/>
      <c r="F5" s="77">
        <f>$C$5 *6</f>
        <v>51000</v>
      </c>
      <c r="G5" s="236" t="s">
        <v>40</v>
      </c>
      <c r="H5" s="236"/>
    </row>
    <row r="7" spans="1:10" ht="76.5" x14ac:dyDescent="0.2">
      <c r="A7" s="76" t="s">
        <v>39</v>
      </c>
      <c r="B7" s="76" t="s">
        <v>38</v>
      </c>
      <c r="C7" s="75" t="s">
        <v>37</v>
      </c>
      <c r="D7" s="75" t="s">
        <v>36</v>
      </c>
      <c r="E7" s="76" t="s">
        <v>35</v>
      </c>
      <c r="F7" s="76" t="s">
        <v>34</v>
      </c>
      <c r="G7" s="75" t="s">
        <v>33</v>
      </c>
      <c r="H7" s="76" t="s">
        <v>32</v>
      </c>
      <c r="I7" s="76" t="s">
        <v>31</v>
      </c>
      <c r="J7" s="76" t="s">
        <v>30</v>
      </c>
    </row>
    <row r="8" spans="1:10" x14ac:dyDescent="0.2">
      <c r="A8" s="72">
        <v>0</v>
      </c>
      <c r="B8" s="71">
        <f t="shared" ref="B8:B44" si="0">A8*(3.14159/180)</f>
        <v>0</v>
      </c>
      <c r="C8" s="70">
        <f t="shared" ref="C8:C44" ca="1" si="1">$C$4*SIN(B8)</f>
        <v>0</v>
      </c>
      <c r="D8" s="70">
        <f t="shared" ref="D8:D44" ca="1" si="2">$C$4*COS(B8)</f>
        <v>39.5</v>
      </c>
      <c r="E8" s="71">
        <f t="shared" ref="E8:E44" ca="1" si="3">ACOS(C8/$C$2)</f>
        <v>1.5707963267948966</v>
      </c>
      <c r="F8" s="70">
        <f t="shared" ref="F8:F44" ca="1" si="4">90-(E8*180/3.14159)</f>
        <v>-7.6019812070171611E-5</v>
      </c>
      <c r="G8" s="70">
        <f t="shared" ref="G8:G44" ca="1" si="5">$C$2*SIN(E8)</f>
        <v>130.5</v>
      </c>
      <c r="H8" s="70">
        <f ca="1">-($C$2+$C$4)+(D8+G8)</f>
        <v>0</v>
      </c>
      <c r="I8" s="70">
        <f ca="1">(    ( (H9-H8)/10 + (H44-H43)/10 )/2     )   *    (   $F$5   )   /  1000</f>
        <v>1.2053451822986033E-4</v>
      </c>
      <c r="J8" s="69">
        <f ca="1">(    ( (I9-I8)/10 + (I44-I43)/10 )/2     )   *    (   $F$5   )  /1000</f>
        <v>-40.099041203067102</v>
      </c>
    </row>
    <row r="9" spans="1:10" x14ac:dyDescent="0.2">
      <c r="A9" s="75">
        <v>10</v>
      </c>
      <c r="B9" s="71">
        <f t="shared" si="0"/>
        <v>0.17453277777777776</v>
      </c>
      <c r="C9" s="74">
        <f t="shared" ca="1" si="1"/>
        <v>6.8590972831551085</v>
      </c>
      <c r="D9" s="70">
        <f t="shared" ca="1" si="2"/>
        <v>38.899907255162113</v>
      </c>
      <c r="E9" s="71">
        <f t="shared" ca="1" si="3"/>
        <v>1.5182119640703429</v>
      </c>
      <c r="F9" s="70">
        <f t="shared" ca="1" si="4"/>
        <v>3.0127885775477665</v>
      </c>
      <c r="G9" s="70">
        <f t="shared" ca="1" si="5"/>
        <v>130.31961780353799</v>
      </c>
      <c r="H9" s="70">
        <f t="shared" ref="H9:H44" ca="1" si="6">-($C$2+$C$4)+(D9+G9)</f>
        <v>-0.78047494129990014</v>
      </c>
      <c r="I9" s="74">
        <f t="shared" ref="I9:I43" ca="1" si="7">(    ( (H9-H8)/10 + (H10-H9)/10 )/2     )   *    (   $F$5   )    /    1000</f>
        <v>-7.8624395409465038</v>
      </c>
      <c r="J9" s="73">
        <f t="shared" ref="J9:J43" ca="1" si="8">(    ( (I9-I8)/10 + (I10-I9)/10 )/2     )   *    (   $F$5   )  /1000</f>
        <v>-39.110632851771193</v>
      </c>
    </row>
    <row r="10" spans="1:10" x14ac:dyDescent="0.2">
      <c r="A10" s="75">
        <v>20</v>
      </c>
      <c r="B10" s="71">
        <f t="shared" si="0"/>
        <v>0.34906555555555552</v>
      </c>
      <c r="C10" s="74">
        <f t="shared" ca="1" si="1"/>
        <v>13.509784717411046</v>
      </c>
      <c r="D10" s="70">
        <f t="shared" ca="1" si="2"/>
        <v>37.117862504314644</v>
      </c>
      <c r="E10" s="71">
        <f t="shared" ca="1" si="3"/>
        <v>1.467087263864191</v>
      </c>
      <c r="F10" s="70">
        <f t="shared" ca="1" si="4"/>
        <v>5.9420206024483235</v>
      </c>
      <c r="G10" s="70">
        <f t="shared" ca="1" si="5"/>
        <v>129.79882787178477</v>
      </c>
      <c r="H10" s="70">
        <f t="shared" ca="1" si="6"/>
        <v>-3.0833096239005897</v>
      </c>
      <c r="I10" s="74">
        <f t="shared" ca="1" si="7"/>
        <v>-15.337382544607729</v>
      </c>
      <c r="J10" s="73">
        <f t="shared" ca="1" si="8"/>
        <v>-36.208436642902086</v>
      </c>
    </row>
    <row r="11" spans="1:10" x14ac:dyDescent="0.2">
      <c r="A11" s="75">
        <v>30</v>
      </c>
      <c r="B11" s="71">
        <f t="shared" si="0"/>
        <v>0.52359833333333328</v>
      </c>
      <c r="C11" s="74">
        <f t="shared" ca="1" si="1"/>
        <v>19.749984870996599</v>
      </c>
      <c r="D11" s="70">
        <f t="shared" ca="1" si="2"/>
        <v>34.20801218421505</v>
      </c>
      <c r="E11" s="71">
        <f t="shared" ca="1" si="3"/>
        <v>1.4188716894772269</v>
      </c>
      <c r="F11" s="70">
        <f t="shared" ca="1" si="4"/>
        <v>8.7045718550476607</v>
      </c>
      <c r="G11" s="70">
        <f t="shared" ca="1" si="5"/>
        <v>128.99685305307025</v>
      </c>
      <c r="H11" s="70">
        <f t="shared" ca="1" si="6"/>
        <v>-6.7951347627146959</v>
      </c>
      <c r="I11" s="74">
        <f t="shared" ca="1" si="7"/>
        <v>-22.061826459731638</v>
      </c>
      <c r="J11" s="73">
        <f t="shared" ca="1" si="8"/>
        <v>-31.579692406036042</v>
      </c>
    </row>
    <row r="12" spans="1:10" x14ac:dyDescent="0.2">
      <c r="A12" s="75">
        <v>40</v>
      </c>
      <c r="B12" s="71">
        <f t="shared" si="0"/>
        <v>0.69813111111111104</v>
      </c>
      <c r="C12" s="74">
        <f t="shared" ca="1" si="1"/>
        <v>25.390092739430607</v>
      </c>
      <c r="D12" s="70">
        <f t="shared" ca="1" si="2"/>
        <v>30.25877047540288</v>
      </c>
      <c r="E12" s="71">
        <f t="shared" ca="1" si="3"/>
        <v>1.3749873690137762</v>
      </c>
      <c r="F12" s="70">
        <f t="shared" ca="1" si="4"/>
        <v>11.218960328216056</v>
      </c>
      <c r="G12" s="70">
        <f t="shared" ca="1" si="5"/>
        <v>128.00622324982137</v>
      </c>
      <c r="H12" s="70">
        <f t="shared" ca="1" si="6"/>
        <v>-11.735006274775742</v>
      </c>
      <c r="I12" s="74">
        <f t="shared" ca="1" si="7"/>
        <v>-27.72157564501402</v>
      </c>
      <c r="J12" s="73">
        <f t="shared" ca="1" si="8"/>
        <v>-25.53220929848689</v>
      </c>
    </row>
    <row r="13" spans="1:10" x14ac:dyDescent="0.2">
      <c r="A13" s="75">
        <v>50</v>
      </c>
      <c r="B13" s="71">
        <f t="shared" si="0"/>
        <v>0.87266388888888879</v>
      </c>
      <c r="C13" s="74">
        <f t="shared" ca="1" si="1"/>
        <v>30.258736787930772</v>
      </c>
      <c r="D13" s="70">
        <f t="shared" ca="1" si="2"/>
        <v>25.390132886590511</v>
      </c>
      <c r="E13" s="71">
        <f t="shared" ca="1" si="3"/>
        <v>1.3367990408218822</v>
      </c>
      <c r="F13" s="70">
        <f t="shared" ca="1" si="4"/>
        <v>13.406992208423503</v>
      </c>
      <c r="G13" s="70">
        <f t="shared" ca="1" si="5"/>
        <v>126.94352621539518</v>
      </c>
      <c r="H13" s="70">
        <f t="shared" ca="1" si="6"/>
        <v>-17.666340898014312</v>
      </c>
      <c r="I13" s="74">
        <f t="shared" ca="1" si="7"/>
        <v>-32.074457557177475</v>
      </c>
      <c r="J13" s="73">
        <f t="shared" ca="1" si="8"/>
        <v>-18.484038744511025</v>
      </c>
    </row>
    <row r="14" spans="1:10" x14ac:dyDescent="0.2">
      <c r="A14" s="75">
        <v>60</v>
      </c>
      <c r="B14" s="71">
        <f t="shared" si="0"/>
        <v>1.0471966666666666</v>
      </c>
      <c r="C14" s="74">
        <f t="shared" ca="1" si="1"/>
        <v>34.207985980005802</v>
      </c>
      <c r="D14" s="70">
        <f t="shared" ca="1" si="2"/>
        <v>19.750030257995213</v>
      </c>
      <c r="E14" s="71">
        <f t="shared" ca="1" si="3"/>
        <v>1.3055674373575701</v>
      </c>
      <c r="F14" s="70">
        <f t="shared" ca="1" si="4"/>
        <v>15.196432785830538</v>
      </c>
      <c r="G14" s="70">
        <f t="shared" ca="1" si="5"/>
        <v>125.93674481735553</v>
      </c>
      <c r="H14" s="70">
        <f t="shared" ca="1" si="6"/>
        <v>-24.313224924649262</v>
      </c>
      <c r="I14" s="74">
        <f t="shared" ca="1" si="7"/>
        <v>-34.970218289920304</v>
      </c>
      <c r="J14" s="73">
        <f t="shared" ca="1" si="8"/>
        <v>-10.93697258207786</v>
      </c>
    </row>
    <row r="15" spans="1:10" x14ac:dyDescent="0.2">
      <c r="A15" s="75">
        <v>70</v>
      </c>
      <c r="B15" s="71">
        <f t="shared" si="0"/>
        <v>1.2217294444444442</v>
      </c>
      <c r="C15" s="74">
        <f t="shared" ca="1" si="1"/>
        <v>37.117844579568555</v>
      </c>
      <c r="D15" s="70">
        <f t="shared" ca="1" si="2"/>
        <v>13.509833965189712</v>
      </c>
      <c r="E15" s="71">
        <f t="shared" ca="1" si="3"/>
        <v>1.2823866696706887</v>
      </c>
      <c r="F15" s="70">
        <f t="shared" ca="1" si="4"/>
        <v>16.524594062011928</v>
      </c>
      <c r="G15" s="70">
        <f t="shared" ca="1" si="5"/>
        <v>125.11001404270959</v>
      </c>
      <c r="H15" s="70">
        <f t="shared" ca="1" si="6"/>
        <v>-31.380151992100707</v>
      </c>
      <c r="I15" s="74">
        <f t="shared" ca="1" si="7"/>
        <v>-36.363466412894283</v>
      </c>
      <c r="J15" s="73">
        <f t="shared" ca="1" si="8"/>
        <v>-3.4302623912932129</v>
      </c>
    </row>
    <row r="16" spans="1:10" x14ac:dyDescent="0.2">
      <c r="A16" s="75">
        <v>80</v>
      </c>
      <c r="B16" s="71">
        <f t="shared" si="0"/>
        <v>1.3962622222222221</v>
      </c>
      <c r="C16" s="74">
        <f t="shared" ca="1" si="1"/>
        <v>38.899898154512606</v>
      </c>
      <c r="D16" s="70">
        <f t="shared" ca="1" si="2"/>
        <v>6.859148895347503</v>
      </c>
      <c r="E16" s="71">
        <f t="shared" ca="1" si="3"/>
        <v>1.2681120664758931</v>
      </c>
      <c r="F16" s="70">
        <f t="shared" ca="1" si="4"/>
        <v>17.342469270127296</v>
      </c>
      <c r="G16" s="70">
        <f t="shared" ca="1" si="5"/>
        <v>124.56744327298586</v>
      </c>
      <c r="H16" s="70">
        <f t="shared" ca="1" si="6"/>
        <v>-38.573407831666628</v>
      </c>
      <c r="I16" s="74">
        <f t="shared" ca="1" si="7"/>
        <v>-36.315419227682348</v>
      </c>
      <c r="J16" s="73">
        <f t="shared" ca="1" si="8"/>
        <v>3.5242422261074897</v>
      </c>
    </row>
    <row r="17" spans="1:10" x14ac:dyDescent="0.2">
      <c r="A17" s="72">
        <v>90</v>
      </c>
      <c r="B17" s="71">
        <f t="shared" si="0"/>
        <v>1.5707949999999999</v>
      </c>
      <c r="C17" s="70">
        <f t="shared" ca="1" si="1"/>
        <v>39.499999999965233</v>
      </c>
      <c r="D17" s="70">
        <f t="shared" ca="1" si="2"/>
        <v>5.240839841876354E-5</v>
      </c>
      <c r="E17" s="71">
        <f t="shared" ca="1" si="3"/>
        <v>1.2632909331460218</v>
      </c>
      <c r="F17" s="70">
        <f t="shared" ca="1" si="4"/>
        <v>17.618700095720982</v>
      </c>
      <c r="G17" s="70">
        <f t="shared" ca="1" si="5"/>
        <v>124.37845472589996</v>
      </c>
      <c r="H17" s="70">
        <f t="shared" ca="1" si="6"/>
        <v>-45.621492865701626</v>
      </c>
      <c r="I17" s="74">
        <f t="shared" ca="1" si="7"/>
        <v>-34.981410637950169</v>
      </c>
      <c r="J17" s="73">
        <f t="shared" ca="1" si="8"/>
        <v>9.5138186516433834</v>
      </c>
    </row>
    <row r="18" spans="1:10" x14ac:dyDescent="0.2">
      <c r="A18" s="75">
        <v>100</v>
      </c>
      <c r="B18" s="71">
        <f t="shared" si="0"/>
        <v>1.7453277777777776</v>
      </c>
      <c r="C18" s="74">
        <f t="shared" ca="1" si="1"/>
        <v>38.899916355743144</v>
      </c>
      <c r="D18" s="70">
        <f t="shared" ca="1" si="2"/>
        <v>-6.85904567095064</v>
      </c>
      <c r="E18" s="71">
        <f t="shared" ca="1" si="3"/>
        <v>1.2681119203604194</v>
      </c>
      <c r="F18" s="70">
        <f t="shared" ca="1" si="4"/>
        <v>17.342477641934337</v>
      </c>
      <c r="G18" s="70">
        <f t="shared" ca="1" si="5"/>
        <v>124.56743758910747</v>
      </c>
      <c r="H18" s="70">
        <f t="shared" ca="1" si="6"/>
        <v>-52.291608081843165</v>
      </c>
      <c r="I18" s="74">
        <f t="shared" ca="1" si="7"/>
        <v>-32.58450995252808</v>
      </c>
      <c r="J18" s="73">
        <f t="shared" ca="1" si="8"/>
        <v>14.283387792314715</v>
      </c>
    </row>
    <row r="19" spans="1:10" x14ac:dyDescent="0.2">
      <c r="A19" s="75">
        <v>110</v>
      </c>
      <c r="B19" s="71">
        <f t="shared" si="0"/>
        <v>1.9198605555555552</v>
      </c>
      <c r="C19" s="74">
        <f t="shared" ca="1" si="1"/>
        <v>37.117880428995392</v>
      </c>
      <c r="D19" s="70">
        <f t="shared" ca="1" si="2"/>
        <v>-13.509735469608602</v>
      </c>
      <c r="E19" s="71">
        <f t="shared" ca="1" si="3"/>
        <v>1.282386383127452</v>
      </c>
      <c r="F19" s="70">
        <f t="shared" ca="1" si="4"/>
        <v>16.524610479743899</v>
      </c>
      <c r="G19" s="70">
        <f t="shared" ca="1" si="5"/>
        <v>125.11000340683714</v>
      </c>
      <c r="H19" s="70">
        <f t="shared" ca="1" si="6"/>
        <v>-58.399732062771463</v>
      </c>
      <c r="I19" s="74">
        <f t="shared" ca="1" si="7"/>
        <v>-29.380082091944399</v>
      </c>
      <c r="J19" s="73">
        <f t="shared" ca="1" si="8"/>
        <v>17.761115923241153</v>
      </c>
    </row>
    <row r="20" spans="1:10" x14ac:dyDescent="0.2">
      <c r="A20" s="75">
        <v>120</v>
      </c>
      <c r="B20" s="71">
        <f t="shared" si="0"/>
        <v>2.0943933333333331</v>
      </c>
      <c r="C20" s="74">
        <f t="shared" ca="1" si="1"/>
        <v>34.208038388364081</v>
      </c>
      <c r="D20" s="70">
        <f t="shared" ca="1" si="2"/>
        <v>-19.749939483963221</v>
      </c>
      <c r="E20" s="71">
        <f t="shared" ca="1" si="3"/>
        <v>1.3055670212092783</v>
      </c>
      <c r="F20" s="70">
        <f t="shared" ca="1" si="4"/>
        <v>15.196456629391449</v>
      </c>
      <c r="G20" s="70">
        <f t="shared" ca="1" si="5"/>
        <v>125.9367305817497</v>
      </c>
      <c r="H20" s="70">
        <f t="shared" ca="1" si="6"/>
        <v>-63.813208902213518</v>
      </c>
      <c r="I20" s="74">
        <f t="shared" ca="1" si="7"/>
        <v>-25.619366453217825</v>
      </c>
      <c r="J20" s="73">
        <f t="shared" ca="1" si="8"/>
        <v>20.042746431053352</v>
      </c>
    </row>
    <row r="21" spans="1:10" x14ac:dyDescent="0.2">
      <c r="A21" s="75">
        <v>130</v>
      </c>
      <c r="B21" s="71">
        <f t="shared" si="0"/>
        <v>2.268926111111111</v>
      </c>
      <c r="C21" s="74">
        <f t="shared" ca="1" si="1"/>
        <v>30.258804162821725</v>
      </c>
      <c r="D21" s="70">
        <f t="shared" ca="1" si="2"/>
        <v>-25.390052592226013</v>
      </c>
      <c r="E21" s="71">
        <f t="shared" ca="1" si="3"/>
        <v>1.336798510074886</v>
      </c>
      <c r="F21" s="70">
        <f t="shared" ca="1" si="4"/>
        <v>13.407022618012064</v>
      </c>
      <c r="G21" s="70">
        <f t="shared" ca="1" si="5"/>
        <v>126.94351015564364</v>
      </c>
      <c r="H21" s="70">
        <f t="shared" ca="1" si="6"/>
        <v>-68.446542436582376</v>
      </c>
      <c r="I21" s="74">
        <f t="shared" ca="1" si="7"/>
        <v>-21.520181530747006</v>
      </c>
      <c r="J21" s="73">
        <f t="shared" ca="1" si="8"/>
        <v>21.342714814188433</v>
      </c>
    </row>
    <row r="22" spans="1:10" x14ac:dyDescent="0.2">
      <c r="A22" s="75">
        <v>140</v>
      </c>
      <c r="B22" s="71">
        <f t="shared" si="0"/>
        <v>2.4434588888888884</v>
      </c>
      <c r="C22" s="74">
        <f t="shared" ca="1" si="1"/>
        <v>25.390173033705722</v>
      </c>
      <c r="D22" s="70">
        <f t="shared" ca="1" si="2"/>
        <v>-30.258703100405391</v>
      </c>
      <c r="E22" s="71">
        <f t="shared" ca="1" si="3"/>
        <v>1.37498674174521</v>
      </c>
      <c r="F22" s="70">
        <f t="shared" ca="1" si="4"/>
        <v>11.218996268087878</v>
      </c>
      <c r="G22" s="70">
        <f t="shared" ca="1" si="5"/>
        <v>128.00620732338913</v>
      </c>
      <c r="H22" s="70">
        <f t="shared" ca="1" si="6"/>
        <v>-72.252495777016264</v>
      </c>
      <c r="I22" s="74">
        <f t="shared" ca="1" si="7"/>
        <v>-17.249674369222362</v>
      </c>
      <c r="J22" s="73">
        <f t="shared" ca="1" si="8"/>
        <v>21.931460445510414</v>
      </c>
    </row>
    <row r="23" spans="1:10" x14ac:dyDescent="0.2">
      <c r="A23" s="75">
        <v>150</v>
      </c>
      <c r="B23" s="71">
        <f t="shared" si="0"/>
        <v>2.6179916666666663</v>
      </c>
      <c r="C23" s="74">
        <f t="shared" ca="1" si="1"/>
        <v>19.750075644959058</v>
      </c>
      <c r="D23" s="70">
        <f t="shared" ca="1" si="2"/>
        <v>-34.207959775736335</v>
      </c>
      <c r="E23" s="71">
        <f t="shared" ca="1" si="3"/>
        <v>1.418870985785895</v>
      </c>
      <c r="F23" s="70">
        <f t="shared" ca="1" si="4"/>
        <v>8.7046121736251081</v>
      </c>
      <c r="G23" s="70">
        <f t="shared" ca="1" si="5"/>
        <v>128.99683915514518</v>
      </c>
      <c r="H23" s="70">
        <f t="shared" ca="1" si="6"/>
        <v>-75.211120620591146</v>
      </c>
      <c r="I23" s="74">
        <f t="shared" ca="1" si="7"/>
        <v>-12.919608807017433</v>
      </c>
      <c r="J23" s="73">
        <f t="shared" ca="1" si="8"/>
        <v>22.078732343791419</v>
      </c>
    </row>
    <row r="24" spans="1:10" x14ac:dyDescent="0.2">
      <c r="A24" s="75">
        <v>160</v>
      </c>
      <c r="B24" s="71">
        <f t="shared" si="0"/>
        <v>2.7925244444444441</v>
      </c>
      <c r="C24" s="74">
        <f t="shared" ca="1" si="1"/>
        <v>13.509883212944583</v>
      </c>
      <c r="D24" s="70">
        <f t="shared" ca="1" si="2"/>
        <v>-37.117826654757124</v>
      </c>
      <c r="E24" s="71">
        <f t="shared" ca="1" si="3"/>
        <v>1.4670865050319346</v>
      </c>
      <c r="F24" s="70">
        <f t="shared" ca="1" si="4"/>
        <v>5.9420640803706846</v>
      </c>
      <c r="G24" s="70">
        <f t="shared" ca="1" si="5"/>
        <v>129.79881762008696</v>
      </c>
      <c r="H24" s="70">
        <f t="shared" ca="1" si="6"/>
        <v>-77.31900903467016</v>
      </c>
      <c r="I24" s="74">
        <f t="shared" ca="1" si="7"/>
        <v>-8.5913479598923939</v>
      </c>
      <c r="J24" s="73">
        <f t="shared" ca="1" si="8"/>
        <v>22.014358706467743</v>
      </c>
    </row>
    <row r="25" spans="1:10" x14ac:dyDescent="0.2">
      <c r="A25" s="75">
        <v>170</v>
      </c>
      <c r="B25" s="71">
        <f t="shared" si="0"/>
        <v>2.967057222222222</v>
      </c>
      <c r="C25" s="74">
        <f t="shared" ca="1" si="1"/>
        <v>6.8592005075278184</v>
      </c>
      <c r="D25" s="70">
        <f t="shared" ca="1" si="2"/>
        <v>-38.899889053794617</v>
      </c>
      <c r="E25" s="71">
        <f t="shared" ca="1" si="3"/>
        <v>1.518211171984112</v>
      </c>
      <c r="F25" s="70">
        <f t="shared" ca="1" si="4"/>
        <v>3.0128339607841355</v>
      </c>
      <c r="G25" s="70">
        <f t="shared" ca="1" si="5"/>
        <v>130.31961237050058</v>
      </c>
      <c r="H25" s="70">
        <f t="shared" ca="1" si="6"/>
        <v>-78.580276683294045</v>
      </c>
      <c r="I25" s="74">
        <f t="shared" ca="1" si="7"/>
        <v>-4.2865269613438075</v>
      </c>
      <c r="J25" s="73">
        <f t="shared" ca="1" si="8"/>
        <v>21.907771246857116</v>
      </c>
    </row>
    <row r="26" spans="1:10" x14ac:dyDescent="0.2">
      <c r="A26" s="72">
        <v>180</v>
      </c>
      <c r="B26" s="71">
        <f t="shared" si="0"/>
        <v>3.1415899999999999</v>
      </c>
      <c r="C26" s="70">
        <f t="shared" ca="1" si="1"/>
        <v>1.0481679683743483E-4</v>
      </c>
      <c r="D26" s="70">
        <f t="shared" ca="1" si="2"/>
        <v>-39.499999999860933</v>
      </c>
      <c r="E26" s="71">
        <f t="shared" ca="1" si="3"/>
        <v>1.5707955236010511</v>
      </c>
      <c r="F26" s="70">
        <f t="shared" ca="1" si="4"/>
        <v>-3.0000155717857524E-5</v>
      </c>
      <c r="G26" s="70">
        <f t="shared" ca="1" si="5"/>
        <v>130.49999999995791</v>
      </c>
      <c r="H26" s="70">
        <f t="shared" ca="1" si="6"/>
        <v>-78.999999999903025</v>
      </c>
      <c r="I26" s="74">
        <f t="shared" ca="1" si="7"/>
        <v>-6.5117987642082653E-5</v>
      </c>
      <c r="J26" s="73">
        <f t="shared" ca="1" si="8"/>
        <v>21.860954603960209</v>
      </c>
    </row>
    <row r="27" spans="1:10" x14ac:dyDescent="0.2">
      <c r="A27" s="75">
        <v>190</v>
      </c>
      <c r="B27" s="71">
        <f t="shared" si="0"/>
        <v>3.3161227777777773</v>
      </c>
      <c r="C27" s="74">
        <f t="shared" ca="1" si="1"/>
        <v>-6.8589940587340923</v>
      </c>
      <c r="D27" s="70">
        <f t="shared" ca="1" si="2"/>
        <v>-38.899925456255701</v>
      </c>
      <c r="E27" s="71">
        <f t="shared" ca="1" si="3"/>
        <v>1.6233798974328819</v>
      </c>
      <c r="F27" s="70">
        <f t="shared" ca="1" si="4"/>
        <v>-3.0128952339161827</v>
      </c>
      <c r="G27" s="70">
        <f t="shared" ca="1" si="5"/>
        <v>130.31962323649591</v>
      </c>
      <c r="H27" s="70">
        <f t="shared" ca="1" si="6"/>
        <v>-78.580302219759787</v>
      </c>
      <c r="I27" s="74">
        <f t="shared" ca="1" si="7"/>
        <v>4.2863964127582372</v>
      </c>
      <c r="J27" s="73">
        <f t="shared" ca="1" si="8"/>
        <v>21.907768570992353</v>
      </c>
    </row>
    <row r="28" spans="1:10" x14ac:dyDescent="0.2">
      <c r="A28" s="75">
        <v>200</v>
      </c>
      <c r="B28" s="71">
        <f t="shared" si="0"/>
        <v>3.4906555555555552</v>
      </c>
      <c r="C28" s="74">
        <f t="shared" ca="1" si="1"/>
        <v>-13.509686221782381</v>
      </c>
      <c r="D28" s="70">
        <f t="shared" ca="1" si="2"/>
        <v>-37.117898353610798</v>
      </c>
      <c r="E28" s="71">
        <f t="shared" ca="1" si="3"/>
        <v>1.674504630892673</v>
      </c>
      <c r="F28" s="70">
        <f t="shared" ca="1" si="4"/>
        <v>-5.9421291641115204</v>
      </c>
      <c r="G28" s="70">
        <f t="shared" ca="1" si="5"/>
        <v>129.79883812341689</v>
      </c>
      <c r="H28" s="70">
        <f t="shared" ca="1" si="6"/>
        <v>-77.319060230193912</v>
      </c>
      <c r="I28" s="74">
        <f t="shared" ca="1" si="7"/>
        <v>8.59121667455838</v>
      </c>
      <c r="J28" s="73">
        <f t="shared" ca="1" si="8"/>
        <v>22.014355416938816</v>
      </c>
    </row>
    <row r="29" spans="1:10" x14ac:dyDescent="0.2">
      <c r="A29" s="75">
        <v>210</v>
      </c>
      <c r="B29" s="71">
        <f t="shared" si="0"/>
        <v>3.665188333333333</v>
      </c>
      <c r="C29" s="74">
        <f t="shared" ca="1" si="1"/>
        <v>-19.74989409689508</v>
      </c>
      <c r="D29" s="70">
        <f t="shared" ca="1" si="2"/>
        <v>-34.208064592452892</v>
      </c>
      <c r="E29" s="71">
        <f t="shared" ca="1" si="3"/>
        <v>1.7227202604202321</v>
      </c>
      <c r="F29" s="70">
        <f t="shared" ca="1" si="4"/>
        <v>-8.7046835760369135</v>
      </c>
      <c r="G29" s="70">
        <f t="shared" ca="1" si="5"/>
        <v>128.9968669509513</v>
      </c>
      <c r="H29" s="70">
        <f t="shared" ca="1" si="6"/>
        <v>-75.211197641501599</v>
      </c>
      <c r="I29" s="74">
        <f t="shared" ca="1" si="7"/>
        <v>12.919476968420517</v>
      </c>
      <c r="J29" s="73">
        <f t="shared" ca="1" si="8"/>
        <v>22.078732579968989</v>
      </c>
    </row>
    <row r="30" spans="1:10" x14ac:dyDescent="0.2">
      <c r="A30" s="75">
        <v>220</v>
      </c>
      <c r="B30" s="71">
        <f t="shared" si="0"/>
        <v>3.8397211111111105</v>
      </c>
      <c r="C30" s="74">
        <f t="shared" ca="1" si="1"/>
        <v>-25.390012444976708</v>
      </c>
      <c r="D30" s="70">
        <f t="shared" ca="1" si="2"/>
        <v>-30.258837850187309</v>
      </c>
      <c r="E30" s="71">
        <f t="shared" ca="1" si="3"/>
        <v>1.7666046573061323</v>
      </c>
      <c r="F30" s="70">
        <f t="shared" ca="1" si="4"/>
        <v>-11.21907642789283</v>
      </c>
      <c r="G30" s="70">
        <f t="shared" ca="1" si="5"/>
        <v>128.00623917623673</v>
      </c>
      <c r="H30" s="70">
        <f t="shared" ca="1" si="6"/>
        <v>-72.252598673950573</v>
      </c>
      <c r="I30" s="74">
        <f t="shared" ca="1" si="7"/>
        <v>17.249543176507004</v>
      </c>
      <c r="J30" s="73">
        <f t="shared" ca="1" si="8"/>
        <v>21.931470340193147</v>
      </c>
    </row>
    <row r="31" spans="1:10" x14ac:dyDescent="0.2">
      <c r="A31" s="75">
        <v>230</v>
      </c>
      <c r="B31" s="71">
        <f t="shared" si="0"/>
        <v>4.0142538888888888</v>
      </c>
      <c r="C31" s="74">
        <f t="shared" ca="1" si="1"/>
        <v>-30.258669412826762</v>
      </c>
      <c r="D31" s="70">
        <f t="shared" ca="1" si="2"/>
        <v>-25.390213180776211</v>
      </c>
      <c r="E31" s="71">
        <f t="shared" ca="1" si="3"/>
        <v>1.8047930820193037</v>
      </c>
      <c r="F31" s="70">
        <f t="shared" ca="1" si="4"/>
        <v>-13.407113838366769</v>
      </c>
      <c r="G31" s="70">
        <f t="shared" ca="1" si="5"/>
        <v>126.94354227515971</v>
      </c>
      <c r="H31" s="70">
        <f t="shared" ca="1" si="6"/>
        <v>-68.4466709056165</v>
      </c>
      <c r="I31" s="74">
        <f t="shared" ca="1" si="7"/>
        <v>21.520053572417829</v>
      </c>
      <c r="J31" s="73">
        <f t="shared" ca="1" si="8"/>
        <v>21.342742111046203</v>
      </c>
    </row>
    <row r="32" spans="1:10" x14ac:dyDescent="0.2">
      <c r="A32" s="75">
        <v>240</v>
      </c>
      <c r="B32" s="71">
        <f t="shared" si="0"/>
        <v>4.1887866666666662</v>
      </c>
      <c r="C32" s="74">
        <f t="shared" ca="1" si="1"/>
        <v>-34.207933571406649</v>
      </c>
      <c r="D32" s="70">
        <f t="shared" ca="1" si="2"/>
        <v>-19.750121031888135</v>
      </c>
      <c r="E32" s="71">
        <f t="shared" ca="1" si="3"/>
        <v>1.8360248000820656</v>
      </c>
      <c r="F32" s="70">
        <f t="shared" ca="1" si="4"/>
        <v>-15.19656098178686</v>
      </c>
      <c r="G32" s="70">
        <f t="shared" ca="1" si="5"/>
        <v>125.93675905300339</v>
      </c>
      <c r="H32" s="70">
        <f t="shared" ca="1" si="6"/>
        <v>-63.813361978884757</v>
      </c>
      <c r="I32" s="74">
        <f t="shared" ca="1" si="7"/>
        <v>25.619245965152572</v>
      </c>
      <c r="J32" s="73">
        <f t="shared" ca="1" si="8"/>
        <v>20.042799592255779</v>
      </c>
    </row>
    <row r="33" spans="1:10" x14ac:dyDescent="0.2">
      <c r="A33" s="75">
        <v>250</v>
      </c>
      <c r="B33" s="71">
        <f t="shared" si="0"/>
        <v>4.3633194444444436</v>
      </c>
      <c r="C33" s="74">
        <f t="shared" ca="1" si="1"/>
        <v>-37.117808729880345</v>
      </c>
      <c r="D33" s="70">
        <f t="shared" ca="1" si="2"/>
        <v>-13.509932460675689</v>
      </c>
      <c r="E33" s="71">
        <f t="shared" ca="1" si="3"/>
        <v>1.8592056973738029</v>
      </c>
      <c r="F33" s="70">
        <f t="shared" ca="1" si="4"/>
        <v>-16.524729683785779</v>
      </c>
      <c r="G33" s="70">
        <f t="shared" ca="1" si="5"/>
        <v>125.11002467864843</v>
      </c>
      <c r="H33" s="70">
        <f t="shared" ca="1" si="6"/>
        <v>-58.399907782027256</v>
      </c>
      <c r="I33" s="74">
        <f t="shared" ca="1" si="7"/>
        <v>29.379974981145587</v>
      </c>
      <c r="J33" s="73">
        <f t="shared" ca="1" si="8"/>
        <v>17.761202640399823</v>
      </c>
    </row>
    <row r="34" spans="1:10" x14ac:dyDescent="0.2">
      <c r="A34" s="75">
        <v>260</v>
      </c>
      <c r="B34" s="71">
        <f t="shared" si="0"/>
        <v>4.537852222222222</v>
      </c>
      <c r="C34" s="74">
        <f t="shared" ca="1" si="1"/>
        <v>-38.899879953008146</v>
      </c>
      <c r="D34" s="70">
        <f t="shared" ca="1" si="2"/>
        <v>-6.859252119696059</v>
      </c>
      <c r="E34" s="71">
        <f t="shared" ca="1" si="3"/>
        <v>1.8734804409962345</v>
      </c>
      <c r="F34" s="70">
        <f t="shared" ca="1" si="4"/>
        <v>-17.342612937818814</v>
      </c>
      <c r="G34" s="70">
        <f t="shared" ca="1" si="5"/>
        <v>124.56744895694683</v>
      </c>
      <c r="H34" s="70">
        <f t="shared" ca="1" si="6"/>
        <v>-52.291803162749233</v>
      </c>
      <c r="I34" s="74">
        <f t="shared" ca="1" si="7"/>
        <v>32.58442347119172</v>
      </c>
      <c r="J34" s="73">
        <f t="shared" ca="1" si="8"/>
        <v>14.283513086546799</v>
      </c>
    </row>
    <row r="35" spans="1:10" x14ac:dyDescent="0.2">
      <c r="A35" s="72">
        <v>270</v>
      </c>
      <c r="B35" s="71">
        <f t="shared" si="0"/>
        <v>4.7123849999999994</v>
      </c>
      <c r="C35" s="70">
        <f t="shared" ca="1" si="1"/>
        <v>-39.499999999687091</v>
      </c>
      <c r="D35" s="70">
        <f t="shared" ca="1" si="2"/>
        <v>-1.572251952734631E-4</v>
      </c>
      <c r="E35" s="71">
        <f t="shared" ca="1" si="3"/>
        <v>1.8783017204415351</v>
      </c>
      <c r="F35" s="70">
        <f t="shared" ca="1" si="4"/>
        <v>-17.618852135216997</v>
      </c>
      <c r="G35" s="70">
        <f t="shared" ca="1" si="5"/>
        <v>124.37845472598829</v>
      </c>
      <c r="H35" s="70">
        <f t="shared" ca="1" si="6"/>
        <v>-45.621702499206975</v>
      </c>
      <c r="I35" s="74">
        <f t="shared" ca="1" si="7"/>
        <v>34.981352662144332</v>
      </c>
      <c r="J35" s="73">
        <f t="shared" ca="1" si="8"/>
        <v>9.5139830661791134</v>
      </c>
    </row>
    <row r="36" spans="1:10" x14ac:dyDescent="0.2">
      <c r="A36" s="75">
        <v>280</v>
      </c>
      <c r="B36" s="71">
        <f t="shared" si="0"/>
        <v>4.8869177777777768</v>
      </c>
      <c r="C36" s="74">
        <f t="shared" ca="1" si="1"/>
        <v>-38.899934556699776</v>
      </c>
      <c r="D36" s="70">
        <f t="shared" ca="1" si="2"/>
        <v>6.8589424465054609</v>
      </c>
      <c r="E36" s="71">
        <f t="shared" ca="1" si="3"/>
        <v>1.8734808793426549</v>
      </c>
      <c r="F36" s="70">
        <f t="shared" ca="1" si="4"/>
        <v>-17.342638053239895</v>
      </c>
      <c r="G36" s="70">
        <f t="shared" ca="1" si="5"/>
        <v>124.56743190531172</v>
      </c>
      <c r="H36" s="70">
        <f t="shared" ca="1" si="6"/>
        <v>-38.573625648182826</v>
      </c>
      <c r="I36" s="74">
        <f t="shared" ca="1" si="7"/>
        <v>36.315397222634509</v>
      </c>
      <c r="J36" s="73">
        <f t="shared" ca="1" si="8"/>
        <v>3.5244407653377863</v>
      </c>
    </row>
    <row r="37" spans="1:10" x14ac:dyDescent="0.2">
      <c r="A37" s="75">
        <v>290</v>
      </c>
      <c r="B37" s="71">
        <f t="shared" si="0"/>
        <v>5.0614505555555551</v>
      </c>
      <c r="C37" s="74">
        <f t="shared" ca="1" si="1"/>
        <v>-37.117916278160862</v>
      </c>
      <c r="D37" s="70">
        <f t="shared" ca="1" si="2"/>
        <v>13.509636973932379</v>
      </c>
      <c r="E37" s="71">
        <f t="shared" ca="1" si="3"/>
        <v>1.859206557003513</v>
      </c>
      <c r="F37" s="70">
        <f t="shared" ca="1" si="4"/>
        <v>-16.524778936981704</v>
      </c>
      <c r="G37" s="70">
        <f t="shared" ca="1" si="5"/>
        <v>125.10999277103105</v>
      </c>
      <c r="H37" s="70">
        <f t="shared" ca="1" si="6"/>
        <v>-31.380370255036581</v>
      </c>
      <c r="I37" s="74">
        <f t="shared" ca="1" si="7"/>
        <v>36.36348629561013</v>
      </c>
      <c r="J37" s="73">
        <f t="shared" ca="1" si="8"/>
        <v>-3.4300401100375919</v>
      </c>
    </row>
    <row r="38" spans="1:10" x14ac:dyDescent="0.2">
      <c r="A38" s="75">
        <v>300</v>
      </c>
      <c r="B38" s="71">
        <f t="shared" si="0"/>
        <v>5.2359833333333325</v>
      </c>
      <c r="C38" s="74">
        <f t="shared" ca="1" si="1"/>
        <v>-34.208090796481486</v>
      </c>
      <c r="D38" s="70">
        <f t="shared" ca="1" si="2"/>
        <v>19.749848709792154</v>
      </c>
      <c r="E38" s="71">
        <f t="shared" ca="1" si="3"/>
        <v>1.8360260485269411</v>
      </c>
      <c r="F38" s="70">
        <f t="shared" ca="1" si="4"/>
        <v>-15.196632512469606</v>
      </c>
      <c r="G38" s="70">
        <f t="shared" ca="1" si="5"/>
        <v>125.93671634618586</v>
      </c>
      <c r="H38" s="70">
        <f t="shared" ca="1" si="6"/>
        <v>-24.313434944021992</v>
      </c>
      <c r="I38" s="74">
        <f t="shared" ca="1" si="7"/>
        <v>34.970283453992316</v>
      </c>
      <c r="J38" s="73">
        <f t="shared" ca="1" si="8"/>
        <v>-10.936740968620999</v>
      </c>
    </row>
    <row r="39" spans="1:10" x14ac:dyDescent="0.2">
      <c r="A39" s="75">
        <v>310</v>
      </c>
      <c r="B39" s="71">
        <f t="shared" si="0"/>
        <v>5.4105161111111109</v>
      </c>
      <c r="C39" s="74">
        <f t="shared" ca="1" si="1"/>
        <v>-30.258871537499598</v>
      </c>
      <c r="D39" s="70">
        <f t="shared" ca="1" si="2"/>
        <v>25.389972297682736</v>
      </c>
      <c r="E39" s="71">
        <f t="shared" ca="1" si="3"/>
        <v>1.8047946742602918</v>
      </c>
      <c r="F39" s="70">
        <f t="shared" ca="1" si="4"/>
        <v>-13.407205067132423</v>
      </c>
      <c r="G39" s="70">
        <f t="shared" ca="1" si="5"/>
        <v>126.94349409590512</v>
      </c>
      <c r="H39" s="70">
        <f t="shared" ca="1" si="6"/>
        <v>-17.666533606412145</v>
      </c>
      <c r="I39" s="74">
        <f t="shared" ca="1" si="7"/>
        <v>32.074568268699934</v>
      </c>
      <c r="J39" s="73">
        <f t="shared" ca="1" si="8"/>
        <v>-18.483814143172207</v>
      </c>
    </row>
    <row r="40" spans="1:10" x14ac:dyDescent="0.2">
      <c r="A40" s="75">
        <v>320</v>
      </c>
      <c r="B40" s="71">
        <f t="shared" si="0"/>
        <v>5.5850488888888883</v>
      </c>
      <c r="C40" s="74">
        <f t="shared" ca="1" si="1"/>
        <v>-25.390253327802036</v>
      </c>
      <c r="D40" s="70">
        <f t="shared" ca="1" si="2"/>
        <v>30.258635725194843</v>
      </c>
      <c r="E40" s="71">
        <f t="shared" ca="1" si="3"/>
        <v>1.7666065391118304</v>
      </c>
      <c r="F40" s="70">
        <f t="shared" ca="1" si="4"/>
        <v>-11.219184247508252</v>
      </c>
      <c r="G40" s="70">
        <f t="shared" ca="1" si="5"/>
        <v>128.00619139694001</v>
      </c>
      <c r="H40" s="70">
        <f t="shared" ca="1" si="6"/>
        <v>-11.735172877865153</v>
      </c>
      <c r="I40" s="74">
        <f t="shared" ca="1" si="7"/>
        <v>27.721728888042431</v>
      </c>
      <c r="J40" s="73">
        <f t="shared" ca="1" si="8"/>
        <v>-25.532007825232171</v>
      </c>
    </row>
    <row r="41" spans="1:10" x14ac:dyDescent="0.2">
      <c r="A41" s="75">
        <v>330</v>
      </c>
      <c r="B41" s="71">
        <f t="shared" si="0"/>
        <v>5.7595816666666657</v>
      </c>
      <c r="C41" s="74">
        <f t="shared" ca="1" si="1"/>
        <v>-19.750166418782449</v>
      </c>
      <c r="D41" s="70">
        <f t="shared" ca="1" si="2"/>
        <v>34.207907367016738</v>
      </c>
      <c r="E41" s="71">
        <f t="shared" ca="1" si="3"/>
        <v>1.7227223714942279</v>
      </c>
      <c r="F41" s="70">
        <f t="shared" ca="1" si="4"/>
        <v>-8.7048045317692839</v>
      </c>
      <c r="G41" s="70">
        <f t="shared" ca="1" si="5"/>
        <v>128.996825257176</v>
      </c>
      <c r="H41" s="70">
        <f t="shared" ca="1" si="6"/>
        <v>-6.7952673758072706</v>
      </c>
      <c r="I41" s="74">
        <f t="shared" ca="1" si="7"/>
        <v>22.062016180373593</v>
      </c>
      <c r="J41" s="73">
        <f t="shared" ca="1" si="8"/>
        <v>-31.579528226857484</v>
      </c>
    </row>
    <row r="42" spans="1:10" x14ac:dyDescent="0.2">
      <c r="A42" s="75">
        <v>340</v>
      </c>
      <c r="B42" s="71">
        <f t="shared" si="0"/>
        <v>5.934114444444444</v>
      </c>
      <c r="C42" s="74">
        <f t="shared" ca="1" si="1"/>
        <v>-13.509981708382979</v>
      </c>
      <c r="D42" s="70">
        <f t="shared" ca="1" si="2"/>
        <v>37.117790804938238</v>
      </c>
      <c r="E42" s="71">
        <f t="shared" ca="1" si="3"/>
        <v>1.6745069073894419</v>
      </c>
      <c r="F42" s="70">
        <f t="shared" ca="1" si="4"/>
        <v>-5.9422595978786319</v>
      </c>
      <c r="G42" s="70">
        <f t="shared" ca="1" si="5"/>
        <v>129.79880736832351</v>
      </c>
      <c r="H42" s="70">
        <f t="shared" ca="1" si="6"/>
        <v>-3.0834018267382532</v>
      </c>
      <c r="I42" s="74">
        <f t="shared" ca="1" si="7"/>
        <v>15.337600171627731</v>
      </c>
      <c r="J42" s="73">
        <f t="shared" ca="1" si="8"/>
        <v>-36.208320886299155</v>
      </c>
    </row>
    <row r="43" spans="1:10" x14ac:dyDescent="0.2">
      <c r="A43" s="75">
        <v>350</v>
      </c>
      <c r="B43" s="71">
        <f t="shared" si="0"/>
        <v>6.1086472222222215</v>
      </c>
      <c r="C43" s="74">
        <f t="shared" ca="1" si="1"/>
        <v>-6.8593037318522407</v>
      </c>
      <c r="D43" s="70">
        <f t="shared" ca="1" si="2"/>
        <v>38.899870852153192</v>
      </c>
      <c r="E43" s="71">
        <f t="shared" ca="1" si="3"/>
        <v>1.6233822736915744</v>
      </c>
      <c r="F43" s="70">
        <f t="shared" ca="1" si="4"/>
        <v>-3.0130313836252895</v>
      </c>
      <c r="G43" s="70">
        <f t="shared" ca="1" si="5"/>
        <v>130.31960693738375</v>
      </c>
      <c r="H43" s="70">
        <f t="shared" ca="1" si="6"/>
        <v>-0.78052221046306158</v>
      </c>
      <c r="I43" s="74">
        <f t="shared" ca="1" si="7"/>
        <v>7.862674656334713</v>
      </c>
      <c r="J43" s="73">
        <f t="shared" ca="1" si="8"/>
        <v>-39.110573074629222</v>
      </c>
    </row>
    <row r="44" spans="1:10" x14ac:dyDescent="0.2">
      <c r="A44" s="72">
        <v>360</v>
      </c>
      <c r="B44" s="71">
        <f t="shared" si="0"/>
        <v>6.2831799999999998</v>
      </c>
      <c r="C44" s="70">
        <f t="shared" ca="1" si="1"/>
        <v>-2.0963359367413156E-4</v>
      </c>
      <c r="D44" s="70">
        <f t="shared" ca="1" si="2"/>
        <v>39.499999999443716</v>
      </c>
      <c r="E44" s="71">
        <f t="shared" ca="1" si="3"/>
        <v>1.5707979331825876</v>
      </c>
      <c r="F44" s="70">
        <f t="shared" ca="1" si="4"/>
        <v>-1.6805912477479978E-4</v>
      </c>
      <c r="G44" s="70">
        <f t="shared" ca="1" si="5"/>
        <v>130.49999999983163</v>
      </c>
      <c r="H44" s="70">
        <f t="shared" ca="1" si="6"/>
        <v>-7.2463990363758057E-10</v>
      </c>
      <c r="I44" s="70">
        <f ca="1">(    ( (H9-H8)/10 + (H44-H43)/10 )/2     )   *    (   $F$5   )   /  1000</f>
        <v>1.2053451822986033E-4</v>
      </c>
      <c r="J44" s="69">
        <f ca="1">(    ( (I9-I8)/10 + (I44-I43)/10 )/2     )   *    (   $F$5   )  /1000</f>
        <v>-40.099041203067102</v>
      </c>
    </row>
  </sheetData>
  <sheetProtection selectLockedCells="1" selectUnlockedCells="1"/>
  <mergeCells count="8">
    <mergeCell ref="G5:H5"/>
    <mergeCell ref="A2:B2"/>
    <mergeCell ref="A1:D1"/>
    <mergeCell ref="A5:B5"/>
    <mergeCell ref="D5:E5"/>
    <mergeCell ref="D4:E4"/>
    <mergeCell ref="A3:B3"/>
    <mergeCell ref="A4:B4"/>
  </mergeCells>
  <phoneticPr fontId="3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W36" sqref="W36"/>
    </sheetView>
  </sheetViews>
  <sheetFormatPr defaultRowHeight="12.75" x14ac:dyDescent="0.2"/>
  <sheetData/>
  <sheetProtection password="EA70" sheet="1" objects="1" scenarios="1"/>
  <phoneticPr fontId="3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Compression Analysis</vt:lpstr>
      <vt:lpstr>Wiseco Subaru Data</vt:lpstr>
      <vt:lpstr>Graph Data</vt:lpstr>
      <vt:lpstr>Piston Acc_Velocity Graph</vt:lpstr>
    </vt:vector>
  </TitlesOfParts>
  <Company>TechWorks Engineering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TPenner</dc:creator>
  <cp:lastModifiedBy>Tom</cp:lastModifiedBy>
  <cp:lastPrinted>2010-07-28T16:42:10Z</cp:lastPrinted>
  <dcterms:created xsi:type="dcterms:W3CDTF">2004-10-25T16:20:20Z</dcterms:created>
  <dcterms:modified xsi:type="dcterms:W3CDTF">2017-08-24T20:22:47Z</dcterms:modified>
</cp:coreProperties>
</file>